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comments2.xml" ContentType="application/vnd.openxmlformats-officedocument.spreadsheetml.comments+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Leistung u. Drehmoment" sheetId="1" state="visible" r:id="rId3"/>
    <sheet name="Getriebe- u. Zugkraftdiagramm" sheetId="2" state="visible" r:id="rId4"/>
  </sheets>
  <definedNames>
    <definedName function="false" hidden="false" localSheetId="1" name="_xlnm.Print_Area" vbProcedure="false">'Getriebe- u. Zugkraftdiagramm'!$A$1:$N$54</definedName>
    <definedName function="false" hidden="false" localSheetId="0" name="_xlnm.Print_Area" vbProcedure="false">'Leistung u. Drehmoment'!$A$7:$L$31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xdr="http://schemas.openxmlformats.org/drawingml/2006/spreadsheetDrawing">
  <authors>
    <author>Unbekannter Autor</author>
  </authors>
  <commentList>
    <comment ref="A4" authorId="0">
      <text>
        <r>
          <rPr>
            <b val="true"/>
            <sz val="8"/>
            <color rgb="FFFF0000"/>
            <rFont val="Tahoma"/>
            <family val="2"/>
          </rPr>
          <t xml:space="preserve">Diese Zeile wird automatisch berechnet!</t>
        </r>
      </text>
    </comment>
    <comment ref="A5" authorId="0">
      <text>
        <r>
          <rPr>
            <b val="true"/>
            <sz val="8"/>
            <color rgb="FFFF0000"/>
            <rFont val="Tahoma"/>
            <family val="2"/>
          </rPr>
          <t xml:space="preserve">Diese Zeile wird automatisch berechnet!</t>
        </r>
      </text>
    </comment>
    <comment ref="A6" authorId="0">
      <text>
        <r>
          <rPr>
            <b val="true"/>
            <sz val="8"/>
            <color rgb="FFFF0000"/>
            <rFont val="Tahoma"/>
            <family val="2"/>
          </rPr>
          <t xml:space="preserve">Diese Zeile wird automatisch berechnet!</t>
        </r>
      </text>
    </comment>
    <comment ref="A28" authorId="0">
      <text>
        <r>
          <rPr>
            <sz val="8"/>
            <color rgb="FF000000"/>
            <rFont val="Tahoma"/>
            <family val="2"/>
          </rPr>
          <t xml:space="preserve">Diese Zellen werden automatisch berechnet</t>
        </r>
      </text>
    </comment>
    <comment ref="C1" authorId="0">
      <text>
        <r>
          <rPr>
            <sz val="8"/>
            <color rgb="FF000000"/>
            <rFont val="Tahoma"/>
            <family val="2"/>
          </rPr>
          <t xml:space="preserve">Es können maximal 11 Werte eingegeben werden.
Für eine aussagekräftige Darstellung sollten mindestens 5 Werte eingegeben werden.</t>
        </r>
      </text>
    </comment>
    <comment ref="C2" authorId="0">
      <text>
        <r>
          <rPr>
            <sz val="8"/>
            <color rgb="FF000000"/>
            <rFont val="Tahoma"/>
            <family val="0"/>
          </rPr>
          <t xml:space="preserve">Die Berechnung des Drehmoments erfolgt automatisch, wenn Leistungwerte (P/kW) eingetragen sind.</t>
        </r>
      </text>
    </comment>
    <comment ref="C3" authorId="0">
      <text>
        <r>
          <rPr>
            <sz val="8"/>
            <color rgb="FF000000"/>
            <rFont val="Tahoma"/>
            <family val="0"/>
          </rPr>
          <t xml:space="preserve">Die Berechnung der Leistung erfolgt automatisch, wenn Drehmomentwerte (M/Nm) eingetragen sind.</t>
        </r>
      </text>
    </comment>
  </commentList>
</comments>
</file>

<file path=xl/comments2.xml><?xml version="1.0" encoding="utf-8"?>
<comments xmlns="http://schemas.openxmlformats.org/spreadsheetml/2006/main" xmlns:xdr="http://schemas.openxmlformats.org/drawingml/2006/spreadsheetDrawing">
  <authors>
    <author>Unbekannter Autor</author>
  </authors>
  <commentList>
    <comment ref="A83" authorId="0">
      <text>
        <r>
          <rPr>
            <b val="true"/>
            <sz val="8"/>
            <color rgb="FFFF0000"/>
            <rFont val="Tahoma"/>
            <family val="2"/>
          </rPr>
          <t xml:space="preserve">In dieser Tabelle werden die Zugkräfte und die Geschwindigkeiten in den jeweiligen Gängen automatisch berechnet.</t>
        </r>
      </text>
    </comment>
    <comment ref="A98" authorId="0">
      <text>
        <r>
          <rPr>
            <b val="true"/>
            <sz val="8"/>
            <color rgb="FFFF0000"/>
            <rFont val="Tahoma"/>
            <family val="2"/>
          </rPr>
          <t xml:space="preserve">In dieser Tabelle werden die Drehzahlsprünge im Getriebeschaubild automatisch berechnet.
</t>
        </r>
      </text>
    </comment>
    <comment ref="A107" authorId="0">
      <text>
        <r>
          <rPr>
            <b val="true"/>
            <sz val="8"/>
            <color rgb="FFFF0000"/>
            <rFont val="Tahoma"/>
            <family val="2"/>
          </rPr>
          <t xml:space="preserve">In dieser Tabelle werden die Fahrwiderstandsparabeln automatisch berechnet.</t>
        </r>
      </text>
    </comment>
    <comment ref="A143" authorId="0">
      <text>
        <r>
          <rPr>
            <b val="true"/>
            <sz val="8"/>
            <color rgb="FFFF0000"/>
            <rFont val="Tahoma"/>
            <family val="2"/>
          </rPr>
          <t xml:space="preserve">In dieser Tabelle werden die Werte für die Leistungshyperbel berechnet</t>
        </r>
      </text>
    </comment>
    <comment ref="A147" authorId="0">
      <text>
        <r>
          <rPr>
            <b val="true"/>
            <sz val="8"/>
            <color rgb="FFFF0000"/>
            <rFont val="Tahoma"/>
            <family val="2"/>
          </rPr>
          <t xml:space="preserve">In dieser Tabelle werden die Werte für die Leistungshyperbel berechnet</t>
        </r>
      </text>
    </comment>
    <comment ref="B57" authorId="0">
      <text>
        <r>
          <rPr>
            <sz val="8"/>
            <color rgb="FF000000"/>
            <rFont val="Tahoma"/>
            <family val="0"/>
          </rPr>
          <t xml:space="preserve">Hier kann der Hub des Motors eingegeben werden, um einen Überblick über die mittleren Kolbengeschwindigkeiten zu erhalten.
Beim Hochschalten können 25 m/s als Grenzwert angesehen werden.
Im letzten Gang sollten 20 m/s nicht überschritten werden (Dauerhöchsgeschwindigkeit).</t>
        </r>
      </text>
    </comment>
    <comment ref="C8" authorId="0">
      <text>
        <r>
          <rPr>
            <sz val="8"/>
            <color rgb="FF000000"/>
            <rFont val="Tahoma"/>
            <family val="2"/>
          </rPr>
          <t xml:space="preserve">Der Wirkungsgrad einer Kette beträgt ca.:
0,95 (neuwertig, ohne O-Ringe) 
0,95 (neuwertig, mit O-Ringen)
</t>
        </r>
        <r>
          <rPr>
            <sz val="8"/>
            <color rgb="FF000000"/>
            <rFont val="Tahoma"/>
            <family val="0"/>
          </rPr>
          <t xml:space="preserve">
Der Wirkungsgrad der PKW-Achsgetriebe beträgt bei geradverzahnten Antrieben 0,98-0,99 und bei Hypoidachsantrieben ca. 0,97-0,98</t>
        </r>
      </text>
    </comment>
    <comment ref="D4" authorId="0">
      <text>
        <r>
          <rPr>
            <sz val="8"/>
            <color rgb="FF000000"/>
            <rFont val="Tahoma"/>
            <family val="2"/>
          </rPr>
          <t xml:space="preserve">Hier muss angegeben werden, ob es sich um einen Auto- oder Motorradreifen handelt.
Die Berechnung des Abrollumfangs U</t>
        </r>
        <r>
          <rPr>
            <vertAlign val="subscript"/>
            <sz val="8"/>
            <color rgb="FF000000"/>
            <rFont val="Tahoma"/>
            <family val="2"/>
          </rPr>
          <t xml:space="preserve">dyn 
</t>
        </r>
        <r>
          <rPr>
            <sz val="8"/>
            <color rgb="FF000000"/>
            <rFont val="Tahoma"/>
            <family val="0"/>
          </rPr>
          <t xml:space="preserve">erfolgt  mit verschiedenen Korrekturfaktoren.</t>
        </r>
      </text>
    </comment>
    <comment ref="E8" authorId="0">
      <text>
        <r>
          <rPr>
            <sz val="8"/>
            <color rgb="FF000000"/>
            <rFont val="Tahoma"/>
            <family val="0"/>
          </rPr>
          <t xml:space="preserve">Der Wirkungsgrad der Achsgetriebe beträgt bei geradverzahnten Antrieben 0,98-0,99 und bei Hypoidachsantrieben ca 0,97-0,98
</t>
        </r>
      </text>
    </comment>
    <comment ref="F4" authorId="0">
      <text>
        <r>
          <rPr>
            <sz val="8"/>
            <color rgb="FF000000"/>
            <rFont val="Tahoma"/>
            <family val="0"/>
          </rPr>
          <t xml:space="preserve">Für die Berechnung der Geschwindigkeit im Getriebeschaubild und dem Zugkraftdiagramm kann hier der Reifenabrollumfang eingegeben werden.
Ist der dynamische Abrollumfang unbekannt, wird mit 0,9881* U gerechnet, wobei U der Umfang des Rads ist und aus Reifenbreite, Querschnittsverhältnis und Felgendurchmesser errechnet wird. Der Wert 0,9613 ist ein Mittelwert aus ca. 100 Reifendaten und ergibt eine Abweichung von maximal 0,2%.
Für PKW-Reifen beträgt der Korrekturfaktor 0,97129 .</t>
        </r>
      </text>
    </comment>
    <comment ref="F8" authorId="0">
      <text>
        <r>
          <rPr>
            <sz val="8"/>
            <color rgb="FF000000"/>
            <rFont val="Tahoma"/>
            <family val="2"/>
          </rPr>
          <t xml:space="preserve">Als Anhaltswerte können folgende Wirkungsgrade angenommen werden:
Frontantrieb (gleichachsiges Getriebe)  0,93-0,95
Heckmotor (gleichachsiges Getriebe)  0,93-0,95
Standardantrieb (ungleichachsiges Getriebe): 0,90-0,94
Standardantrieb im direkten Gang (i=1): 0,96-0,98
Prinzipiell gilt, dass große Übersetzungen einen geringeren Wirkungsgrad aufweisen als kleine Übersetzungen.
Bei Allradfahrzeugen mit Verteilergetrieben verringert sich der Wirkungsgrad auf bis zu 0,8 und in Geländegängen (Kriechgänge) auf bis zu 0,6.
Die Angaben sind Schätzwerte, bzw. Literaturangaben! </t>
        </r>
      </text>
    </comment>
    <comment ref="G4" authorId="0">
      <text>
        <r>
          <rPr>
            <sz val="8"/>
            <color rgb="FF000000"/>
            <rFont val="Tahoma"/>
            <family val="0"/>
          </rPr>
          <t xml:space="preserve">0,015 gilt für Breitreifen auf Asphalt, für schmale Reifen (z.B. 135er) 0,012 einsetzen</t>
        </r>
      </text>
    </comment>
    <comment ref="I4" authorId="0">
      <text>
        <r>
          <rPr>
            <sz val="8"/>
            <color rgb="FF000000"/>
            <rFont val="Tahoma"/>
            <family val="2"/>
          </rPr>
          <t xml:space="preserve">Hier kann das Leergewicht eingegeben werden. Die Fahrzeugmasse hat hauptsächlich auf die Zugkraft (=Beschleunigung) Einfluss.</t>
        </r>
      </text>
    </comment>
    <comment ref="J4" authorId="0">
      <text>
        <r>
          <rPr>
            <sz val="8"/>
            <color rgb="FF000000"/>
            <rFont val="Tahoma"/>
            <family val="0"/>
          </rPr>
          <t xml:space="preserve">Fahrzeugbreite und -höhe werden nur benötigt, wenn die Stirnfläche nicht bekannt ist.</t>
        </r>
      </text>
    </comment>
    <comment ref="J98" authorId="0">
      <text>
        <r>
          <rPr>
            <b val="true"/>
            <sz val="8"/>
            <color rgb="FFFF0000"/>
            <rFont val="Tahoma"/>
            <family val="2"/>
          </rPr>
          <t xml:space="preserve">In dieser Tabelle werden die Werte des Getriebeschaubilds automatisch berechnet.
</t>
        </r>
        <r>
          <rPr>
            <sz val="8"/>
            <color rgb="FF000000"/>
            <rFont val="Tahoma"/>
            <family val="0"/>
          </rPr>
          <t xml:space="preserve">
</t>
        </r>
      </text>
    </comment>
    <comment ref="K4" authorId="0">
      <text>
        <r>
          <rPr>
            <sz val="8"/>
            <color rgb="FF000000"/>
            <rFont val="Tahoma"/>
            <family val="2"/>
          </rPr>
          <t xml:space="preserve">Fahrzeugbreite und -höhe werden nur benötigt, wenn die Stirnfläche nicht bekannt ist.</t>
        </r>
      </text>
    </comment>
    <comment ref="L4" authorId="0">
      <text>
        <r>
          <rPr>
            <sz val="8"/>
            <color rgb="FF000000"/>
            <rFont val="Tahoma"/>
            <family val="0"/>
          </rPr>
          <t xml:space="preserve">Die Stirnfläche wird automatisch mit 0,85*Breite*Höhe berechnet,
kann aber auch überschrieben werden.
Wenn die Stirnfläche bekannt ist, müssen Fahrzeugbreite und -höhe nicht eingegeben werden.</t>
        </r>
      </text>
    </comment>
    <comment ref="M8" authorId="0">
      <text>
        <r>
          <rPr>
            <sz val="8"/>
            <color rgb="FF000000"/>
            <rFont val="Tahoma"/>
            <family val="0"/>
          </rPr>
          <t xml:space="preserve">Hier wird automatisch der höchste Wert aus den  Drehzahl-/Drehmomentkurven eingetragen.
Liegt die mittlere Kolbengeschwindigkeit dabei über 25 m/s, wird die Drehzahl für 25 m/s eingetragen
Sollen die Drehzahlsprünge im Getriebeschaubild (rote Linien) nicht angezeigt werden, muss der Zelleninhalt gelöscht werden.</t>
        </r>
      </text>
    </comment>
    <comment ref="N4" authorId="0">
      <text>
        <r>
          <rPr>
            <sz val="8"/>
            <color rgb="FF000000"/>
            <rFont val="Tahoma"/>
            <family val="0"/>
          </rPr>
          <t xml:space="preserve">Für Pkw nach Baujahr 1990 beträgt der c</t>
        </r>
        <r>
          <rPr>
            <vertAlign val="subscript"/>
            <sz val="8"/>
            <color rgb="FF000000"/>
            <rFont val="Tahoma"/>
            <family val="2"/>
          </rPr>
          <t xml:space="preserve">W</t>
        </r>
        <r>
          <rPr>
            <sz val="8"/>
            <color rgb="FF000000"/>
            <rFont val="Tahoma"/>
            <family val="0"/>
          </rPr>
          <t xml:space="preserve">-Wert ca. 0,3.
Für ältere Fahrzeuge (Baujahr vor 1980) ca. 0,4.
Für Geländefahrzeuge ca. 0,42</t>
        </r>
      </text>
    </comment>
    <comment ref="O10" authorId="0">
      <text>
        <r>
          <rPr>
            <sz val="8"/>
            <color rgb="FF000000"/>
            <rFont val="Tahoma"/>
            <family val="0"/>
          </rPr>
          <t xml:space="preserve">Hier kann ein Faktor eingegeben werden, um den Maximalwert der Fahrwiderstandsparabeln im Verhältnis zur maximalen Zugkraft des Fahrzeugs anzupassen.</t>
        </r>
      </text>
    </comment>
    <comment ref="O22" authorId="0">
      <text>
        <r>
          <rPr>
            <sz val="8"/>
            <color rgb="FF000000"/>
            <rFont val="Tahoma"/>
            <family val="2"/>
          </rPr>
          <t xml:space="preserve">Hier kann ein Faktor eingegeben werden, um den Maximalwert der Fahrwiderstandsparabeln im Verhältnis zur maximalen Geschwindigkeit des Fahrzeugs anzupassen.</t>
        </r>
      </text>
    </comment>
    <comment ref="Q10" authorId="0">
      <text>
        <r>
          <rPr>
            <sz val="8"/>
            <color rgb="FF000000"/>
            <rFont val="Tahoma"/>
            <family val="0"/>
          </rPr>
          <t xml:space="preserve">Hier kann ein Faktor eingegeben werden, um den Maximalwert der Leistungshyperbel im Verhältnis zur maximalen Zugkraft des Fahrzeugs anzupassen.</t>
        </r>
      </text>
    </comment>
    <comment ref="R16" authorId="0">
      <text>
        <r>
          <rPr>
            <sz val="8"/>
            <color rgb="FF000000"/>
            <rFont val="Tahoma"/>
            <family val="2"/>
          </rPr>
          <t xml:space="preserve">Hier können die Werte für die optimalen Schaltpunkte, die aus dem Zugkraftdiagramm abgelesen werden müssen, eingetragen werden.
</t>
        </r>
        <r>
          <rPr>
            <sz val="8"/>
            <color rgb="FF000000"/>
            <rFont val="Tahoma"/>
            <family val="0"/>
          </rPr>
          <t xml:space="preserve">
Wenn keine Eintragungen vorhanden sind wird als Schaltdrehzahl die oben angegebene benutzt</t>
        </r>
      </text>
    </comment>
    <comment ref="T14" authorId="0">
      <text>
        <r>
          <rPr>
            <sz val="8"/>
            <color rgb="FF000000"/>
            <rFont val="Tahoma"/>
            <family val="0"/>
          </rPr>
          <t xml:space="preserve">Wenn die Fahrwiderstandsparabeln im Zugkraftdiagramm (rote Kurven) nicht angezeigt werden sollen, muss in diesem Feld ein "n" eingetragen werden.</t>
        </r>
      </text>
    </comment>
    <comment ref="T24" authorId="0">
      <text>
        <r>
          <rPr>
            <sz val="8"/>
            <color rgb="FF000000"/>
            <rFont val="Tahoma"/>
            <family val="2"/>
          </rPr>
          <t xml:space="preserve">Die Eingabe für 30% lautet entweder 30 oder 0,3.
Ist ein Zellenwert nicht sichtbar, wird die entsprechende Parabel nicht dargestellt, da die daraus folgende  notwendige Zugkraft erheblich größer ist als die Zugkraft, die das Fahrzeug maximal aufbringt. Wenn trotzdem 10 Fahrwiderstandsparabeln angezeigt werden sollen, müssen kleinere Abstände zwischen den Steigungen eingegeben werden (z.B. -5%, 0%, 5%, 10%, 15%, usw.) . Es können beliebige Werte eingegeben werden.
Die unterste Parabel entspricht immer dem kleinsten Prozentwert (0%=ebene Straße im Beispiel). Die Werte geben die Steigung der Straße an (100%=45°).
Auf Autobahnen beträgt die maximale Steigung ca. 8%, bzw. das maximale Gefälle -8%.</t>
        </r>
      </text>
    </comment>
  </commentList>
</comments>
</file>

<file path=xl/sharedStrings.xml><?xml version="1.0" encoding="utf-8"?>
<sst xmlns="http://schemas.openxmlformats.org/spreadsheetml/2006/main" count="102" uniqueCount="84">
  <si>
    <r>
      <rPr>
        <b val="true"/>
        <sz val="10"/>
        <rFont val="Arial"/>
        <family val="2"/>
      </rPr>
      <t xml:space="preserve">n/min</t>
    </r>
    <r>
      <rPr>
        <b val="true"/>
        <vertAlign val="superscript"/>
        <sz val="10"/>
        <rFont val="Arial"/>
        <family val="2"/>
      </rPr>
      <t xml:space="preserve">-1</t>
    </r>
  </si>
  <si>
    <t xml:space="preserve">M/Nm </t>
  </si>
  <si>
    <t xml:space="preserve">P/kW</t>
  </si>
  <si>
    <r>
      <rPr>
        <b val="true"/>
        <sz val="10"/>
        <rFont val="Arial"/>
        <family val="2"/>
      </rPr>
      <t xml:space="preserve">M</t>
    </r>
    <r>
      <rPr>
        <b val="true"/>
        <vertAlign val="subscript"/>
        <sz val="10"/>
        <rFont val="Arial"/>
        <family val="2"/>
      </rPr>
      <t xml:space="preserve">berechnet</t>
    </r>
    <r>
      <rPr>
        <b val="true"/>
        <sz val="10"/>
        <rFont val="Arial"/>
        <family val="2"/>
      </rPr>
      <t xml:space="preserve">/Nm</t>
    </r>
  </si>
  <si>
    <r>
      <rPr>
        <b val="true"/>
        <sz val="10"/>
        <rFont val="Arial"/>
        <family val="2"/>
      </rPr>
      <t xml:space="preserve">P</t>
    </r>
    <r>
      <rPr>
        <b val="true"/>
        <vertAlign val="subscript"/>
        <sz val="10"/>
        <rFont val="Arial"/>
        <family val="2"/>
      </rPr>
      <t xml:space="preserve">berechnet</t>
    </r>
    <r>
      <rPr>
        <b val="true"/>
        <sz val="10"/>
        <rFont val="Arial"/>
        <family val="2"/>
      </rPr>
      <t xml:space="preserve">/kW</t>
    </r>
  </si>
  <si>
    <r>
      <rPr>
        <b val="true"/>
        <sz val="10"/>
        <rFont val="Arial"/>
        <family val="2"/>
      </rPr>
      <t xml:space="preserve">P</t>
    </r>
    <r>
      <rPr>
        <b val="true"/>
        <vertAlign val="subscript"/>
        <sz val="10"/>
        <rFont val="Arial"/>
        <family val="2"/>
      </rPr>
      <t xml:space="preserve">berechnet</t>
    </r>
    <r>
      <rPr>
        <b val="true"/>
        <sz val="10"/>
        <rFont val="Arial"/>
        <family val="2"/>
      </rPr>
      <t xml:space="preserve">/PS</t>
    </r>
  </si>
  <si>
    <t xml:space="preserve">BMW M3 CSL Bj.2003
3246 cm³, 91 X 87</t>
  </si>
  <si>
    <t xml:space="preserve">M/Nm</t>
  </si>
  <si>
    <t xml:space="preserve">P/PS</t>
  </si>
  <si>
    <t xml:space="preserve">Reifen</t>
  </si>
  <si>
    <t xml:space="preserve">Fahrzeug</t>
  </si>
  <si>
    <r>
      <rPr>
        <b val="true"/>
        <u val="single"/>
        <sz val="10"/>
        <rFont val="Arial"/>
        <family val="2"/>
      </rPr>
      <t xml:space="preserve">Breite
</t>
    </r>
    <r>
      <rPr>
        <b val="true"/>
        <sz val="10"/>
        <rFont val="Arial"/>
        <family val="2"/>
      </rPr>
      <t xml:space="preserve">mm</t>
    </r>
  </si>
  <si>
    <t xml:space="preserve">Quer-
schnitt</t>
  </si>
  <si>
    <r>
      <rPr>
        <b val="true"/>
        <u val="single"/>
        <sz val="10"/>
        <rFont val="Arial"/>
        <family val="2"/>
      </rPr>
      <t xml:space="preserve">Felge
</t>
    </r>
    <r>
      <rPr>
        <b val="true"/>
        <sz val="10"/>
        <rFont val="Arial"/>
        <family val="2"/>
      </rPr>
      <t xml:space="preserve">Zoll</t>
    </r>
  </si>
  <si>
    <r>
      <rPr>
        <b val="true"/>
        <sz val="10"/>
        <rFont val="Arial"/>
        <family val="2"/>
      </rPr>
      <t xml:space="preserve">A</t>
    </r>
    <r>
      <rPr>
        <sz val="10"/>
        <rFont val="Arial"/>
        <family val="2"/>
      </rPr>
      <t xml:space="preserve">uto/
</t>
    </r>
    <r>
      <rPr>
        <b val="true"/>
        <sz val="10"/>
        <rFont val="Arial"/>
        <family val="2"/>
      </rPr>
      <t xml:space="preserve">M</t>
    </r>
    <r>
      <rPr>
        <sz val="10"/>
        <rFont val="Arial"/>
        <family val="2"/>
      </rPr>
      <t xml:space="preserve">otorrad</t>
    </r>
  </si>
  <si>
    <r>
      <rPr>
        <b val="true"/>
        <u val="single"/>
        <sz val="10"/>
        <rFont val="Arial"/>
        <family val="2"/>
      </rPr>
      <t xml:space="preserve">U</t>
    </r>
    <r>
      <rPr>
        <b val="true"/>
        <u val="single"/>
        <vertAlign val="subscript"/>
        <sz val="10"/>
        <rFont val="Arial"/>
        <family val="2"/>
      </rPr>
      <t xml:space="preserve">dyn
</t>
    </r>
    <r>
      <rPr>
        <b val="true"/>
        <sz val="10"/>
        <rFont val="Arial"/>
        <family val="2"/>
      </rPr>
      <t xml:space="preserve">m</t>
    </r>
  </si>
  <si>
    <t xml:space="preserve">Rollwider-
standszahl</t>
  </si>
  <si>
    <r>
      <rPr>
        <b val="true"/>
        <u val="single"/>
        <sz val="10"/>
        <rFont val="Arial"/>
        <family val="2"/>
      </rPr>
      <t xml:space="preserve">Masse
</t>
    </r>
    <r>
      <rPr>
        <b val="true"/>
        <sz val="10"/>
        <rFont val="Arial"/>
        <family val="2"/>
      </rPr>
      <t xml:space="preserve">kg</t>
    </r>
  </si>
  <si>
    <r>
      <rPr>
        <b val="true"/>
        <u val="single"/>
        <sz val="10"/>
        <rFont val="Arial"/>
        <family val="2"/>
      </rPr>
      <t xml:space="preserve">Breite
</t>
    </r>
    <r>
      <rPr>
        <b val="true"/>
        <sz val="10"/>
        <rFont val="Arial"/>
        <family val="2"/>
      </rPr>
      <t xml:space="preserve">m</t>
    </r>
  </si>
  <si>
    <r>
      <rPr>
        <b val="true"/>
        <u val="single"/>
        <sz val="10"/>
        <rFont val="Arial"/>
        <family val="2"/>
      </rPr>
      <t xml:space="preserve">Höhe
</t>
    </r>
    <r>
      <rPr>
        <b val="true"/>
        <sz val="10"/>
        <rFont val="Arial"/>
        <family val="2"/>
      </rPr>
      <t xml:space="preserve">m</t>
    </r>
  </si>
  <si>
    <r>
      <rPr>
        <b val="true"/>
        <u val="single"/>
        <sz val="10"/>
        <rFont val="Arial"/>
        <family val="2"/>
      </rPr>
      <t xml:space="preserve">Stirnfläche
</t>
    </r>
    <r>
      <rPr>
        <b val="true"/>
        <sz val="10"/>
        <rFont val="Arial"/>
        <family val="2"/>
      </rPr>
      <t xml:space="preserve">m²</t>
    </r>
  </si>
  <si>
    <r>
      <rPr>
        <b val="true"/>
        <sz val="10"/>
        <rFont val="Arial"/>
        <family val="2"/>
      </rPr>
      <t xml:space="preserve">c</t>
    </r>
    <r>
      <rPr>
        <b val="true"/>
        <vertAlign val="subscript"/>
        <sz val="10"/>
        <rFont val="Arial"/>
        <family val="2"/>
      </rPr>
      <t xml:space="preserve">W</t>
    </r>
  </si>
  <si>
    <t xml:space="preserve">A</t>
  </si>
  <si>
    <t xml:space="preserve">Übersetzungen</t>
  </si>
  <si>
    <r>
      <rPr>
        <b val="true"/>
        <sz val="10"/>
        <rFont val="Arial"/>
        <family val="2"/>
      </rPr>
      <t xml:space="preserve">z</t>
    </r>
    <r>
      <rPr>
        <b val="true"/>
        <vertAlign val="subscript"/>
        <sz val="10"/>
        <rFont val="Arial"/>
        <family val="2"/>
      </rPr>
      <t xml:space="preserve">Ritzel</t>
    </r>
  </si>
  <si>
    <r>
      <rPr>
        <b val="true"/>
        <sz val="10"/>
        <rFont val="Arial"/>
        <family val="2"/>
      </rPr>
      <t xml:space="preserve">z</t>
    </r>
    <r>
      <rPr>
        <b val="true"/>
        <vertAlign val="subscript"/>
        <sz val="10"/>
        <rFont val="Arial"/>
        <family val="2"/>
      </rPr>
      <t xml:space="preserve">Kettenrad</t>
    </r>
  </si>
  <si>
    <r>
      <rPr>
        <b val="true"/>
        <sz val="10"/>
        <rFont val="Arial"/>
        <family val="2"/>
      </rPr>
      <t xml:space="preserve">i</t>
    </r>
    <r>
      <rPr>
        <b val="true"/>
        <vertAlign val="subscript"/>
        <sz val="10"/>
        <rFont val="Arial"/>
        <family val="2"/>
      </rPr>
      <t xml:space="preserve">Primär</t>
    </r>
  </si>
  <si>
    <t xml:space="preserve">1.</t>
  </si>
  <si>
    <t xml:space="preserve">2.</t>
  </si>
  <si>
    <t xml:space="preserve">3.</t>
  </si>
  <si>
    <t xml:space="preserve">4.</t>
  </si>
  <si>
    <t xml:space="preserve">5.</t>
  </si>
  <si>
    <t xml:space="preserve">6.</t>
  </si>
  <si>
    <t xml:space="preserve">7.</t>
  </si>
  <si>
    <r>
      <rPr>
        <b val="true"/>
        <u val="single"/>
        <sz val="10"/>
        <rFont val="Arial"/>
        <family val="2"/>
      </rPr>
      <t xml:space="preserve">Schaltdrehzahl
</t>
    </r>
    <r>
      <rPr>
        <b val="true"/>
        <sz val="10"/>
        <rFont val="Arial"/>
        <family val="2"/>
      </rPr>
      <t xml:space="preserve">min</t>
    </r>
    <r>
      <rPr>
        <b val="true"/>
        <vertAlign val="superscript"/>
        <sz val="10"/>
        <rFont val="Arial"/>
        <family val="2"/>
      </rPr>
      <t xml:space="preserve">-1</t>
    </r>
  </si>
  <si>
    <t xml:space="preserve">Wirkungsgrad</t>
  </si>
  <si>
    <t xml:space="preserve">Fahrwider-
stands-
parabeln</t>
  </si>
  <si>
    <t xml:space="preserve">j</t>
  </si>
  <si>
    <t xml:space="preserve">Gang</t>
  </si>
  <si>
    <r>
      <rPr>
        <sz val="10"/>
        <rFont val="Arial"/>
        <family val="0"/>
      </rPr>
      <t xml:space="preserve">V</t>
    </r>
    <r>
      <rPr>
        <vertAlign val="subscript"/>
        <sz val="10"/>
        <rFont val="Arial"/>
        <family val="2"/>
      </rPr>
      <t xml:space="preserve">Schalt</t>
    </r>
  </si>
  <si>
    <t xml:space="preserve">Schaltdrehzahl, optimal</t>
  </si>
  <si>
    <t xml:space="preserve">Geschwindigkeit</t>
  </si>
  <si>
    <r>
      <rPr>
        <u val="single"/>
        <sz val="10"/>
        <rFont val="Arial"/>
        <family val="2"/>
      </rPr>
      <t xml:space="preserve">Hub
</t>
    </r>
    <r>
      <rPr>
        <sz val="10"/>
        <rFont val="Arial"/>
        <family val="2"/>
      </rPr>
      <t xml:space="preserve">mm</t>
    </r>
  </si>
  <si>
    <r>
      <rPr>
        <u val="single"/>
        <sz val="10"/>
        <rFont val="Arial"/>
        <family val="2"/>
      </rPr>
      <t xml:space="preserve">V</t>
    </r>
    <r>
      <rPr>
        <u val="single"/>
        <vertAlign val="subscript"/>
        <sz val="10"/>
        <rFont val="Arial"/>
        <family val="2"/>
      </rPr>
      <t xml:space="preserve">Kolben
</t>
    </r>
    <r>
      <rPr>
        <sz val="10"/>
        <rFont val="Arial"/>
        <family val="0"/>
      </rPr>
      <t xml:space="preserve">m/s</t>
    </r>
  </si>
  <si>
    <r>
      <rPr>
        <u val="single"/>
        <sz val="10"/>
        <rFont val="Arial"/>
        <family val="2"/>
      </rPr>
      <t xml:space="preserve">Drehzahl
</t>
    </r>
    <r>
      <rPr>
        <sz val="10"/>
        <rFont val="Arial"/>
        <family val="0"/>
      </rPr>
      <t xml:space="preserve">min</t>
    </r>
    <r>
      <rPr>
        <vertAlign val="superscript"/>
        <sz val="10"/>
        <rFont val="Arial"/>
        <family val="2"/>
      </rPr>
      <t xml:space="preserve">-1</t>
    </r>
  </si>
  <si>
    <r>
      <rPr>
        <u val="single"/>
        <sz val="10"/>
        <rFont val="Arial"/>
        <family val="2"/>
      </rPr>
      <t xml:space="preserve">V</t>
    </r>
    <r>
      <rPr>
        <u val="single"/>
        <vertAlign val="subscript"/>
        <sz val="10"/>
        <rFont val="Arial"/>
        <family val="2"/>
      </rPr>
      <t xml:space="preserve">1.
</t>
    </r>
    <r>
      <rPr>
        <sz val="10"/>
        <rFont val="Arial"/>
        <family val="2"/>
      </rPr>
      <t xml:space="preserve">km/h</t>
    </r>
  </si>
  <si>
    <r>
      <rPr>
        <u val="single"/>
        <sz val="10"/>
        <rFont val="Arial"/>
        <family val="2"/>
      </rPr>
      <t xml:space="preserve">V</t>
    </r>
    <r>
      <rPr>
        <u val="single"/>
        <vertAlign val="subscript"/>
        <sz val="10"/>
        <rFont val="Arial"/>
        <family val="2"/>
      </rPr>
      <t xml:space="preserve">2.
</t>
    </r>
    <r>
      <rPr>
        <sz val="10"/>
        <rFont val="Arial"/>
        <family val="2"/>
      </rPr>
      <t xml:space="preserve">km/h</t>
    </r>
  </si>
  <si>
    <r>
      <rPr>
        <u val="single"/>
        <sz val="10"/>
        <rFont val="Arial"/>
        <family val="2"/>
      </rPr>
      <t xml:space="preserve">V</t>
    </r>
    <r>
      <rPr>
        <u val="single"/>
        <vertAlign val="subscript"/>
        <sz val="10"/>
        <rFont val="Arial"/>
        <family val="2"/>
      </rPr>
      <t xml:space="preserve">3.
</t>
    </r>
    <r>
      <rPr>
        <sz val="10"/>
        <rFont val="Arial"/>
        <family val="2"/>
      </rPr>
      <t xml:space="preserve">km/h</t>
    </r>
  </si>
  <si>
    <r>
      <rPr>
        <u val="single"/>
        <sz val="10"/>
        <rFont val="Arial"/>
        <family val="2"/>
      </rPr>
      <t xml:space="preserve">V</t>
    </r>
    <r>
      <rPr>
        <u val="single"/>
        <vertAlign val="subscript"/>
        <sz val="10"/>
        <rFont val="Arial"/>
        <family val="2"/>
      </rPr>
      <t xml:space="preserve">4.
</t>
    </r>
    <r>
      <rPr>
        <sz val="10"/>
        <rFont val="Arial"/>
        <family val="2"/>
      </rPr>
      <t xml:space="preserve">km/h</t>
    </r>
  </si>
  <si>
    <r>
      <rPr>
        <u val="single"/>
        <sz val="10"/>
        <rFont val="Arial"/>
        <family val="2"/>
      </rPr>
      <t xml:space="preserve">V</t>
    </r>
    <r>
      <rPr>
        <u val="single"/>
        <vertAlign val="subscript"/>
        <sz val="10"/>
        <rFont val="Arial"/>
        <family val="2"/>
      </rPr>
      <t xml:space="preserve">5.
</t>
    </r>
    <r>
      <rPr>
        <sz val="10"/>
        <rFont val="Arial"/>
        <family val="2"/>
      </rPr>
      <t xml:space="preserve">km/h</t>
    </r>
  </si>
  <si>
    <r>
      <rPr>
        <u val="single"/>
        <sz val="10"/>
        <rFont val="Arial"/>
        <family val="2"/>
      </rPr>
      <t xml:space="preserve">V</t>
    </r>
    <r>
      <rPr>
        <u val="single"/>
        <vertAlign val="subscript"/>
        <sz val="10"/>
        <rFont val="Arial"/>
        <family val="2"/>
      </rPr>
      <t xml:space="preserve">6.
</t>
    </r>
    <r>
      <rPr>
        <sz val="10"/>
        <rFont val="Arial"/>
        <family val="2"/>
      </rPr>
      <t xml:space="preserve">km/h</t>
    </r>
  </si>
  <si>
    <r>
      <rPr>
        <u val="single"/>
        <sz val="10"/>
        <rFont val="Arial"/>
        <family val="2"/>
      </rPr>
      <t xml:space="preserve">V</t>
    </r>
    <r>
      <rPr>
        <u val="single"/>
        <vertAlign val="subscript"/>
        <sz val="10"/>
        <rFont val="Arial"/>
        <family val="2"/>
      </rPr>
      <t xml:space="preserve">7.
</t>
    </r>
    <r>
      <rPr>
        <sz val="10"/>
        <rFont val="Arial"/>
        <family val="2"/>
      </rPr>
      <t xml:space="preserve">km/h</t>
    </r>
  </si>
  <si>
    <t xml:space="preserve">V1</t>
  </si>
  <si>
    <t xml:space="preserve">F1</t>
  </si>
  <si>
    <t xml:space="preserve">V2</t>
  </si>
  <si>
    <t xml:space="preserve">F2</t>
  </si>
  <si>
    <t xml:space="preserve">V3</t>
  </si>
  <si>
    <t xml:space="preserve">F3</t>
  </si>
  <si>
    <t xml:space="preserve">V4</t>
  </si>
  <si>
    <t xml:space="preserve">F4</t>
  </si>
  <si>
    <t xml:space="preserve">V5</t>
  </si>
  <si>
    <t xml:space="preserve">F5</t>
  </si>
  <si>
    <t xml:space="preserve">V6</t>
  </si>
  <si>
    <t xml:space="preserve">F6</t>
  </si>
  <si>
    <t xml:space="preserve">V7</t>
  </si>
  <si>
    <t xml:space="preserve">F7</t>
  </si>
  <si>
    <r>
      <rPr>
        <sz val="10"/>
        <rFont val="Arial"/>
        <family val="2"/>
      </rPr>
      <t xml:space="preserve">n</t>
    </r>
    <r>
      <rPr>
        <vertAlign val="subscript"/>
        <sz val="10"/>
        <rFont val="Arial"/>
        <family val="2"/>
      </rPr>
      <t xml:space="preserve">min</t>
    </r>
  </si>
  <si>
    <r>
      <rPr>
        <sz val="10"/>
        <rFont val="Arial"/>
        <family val="2"/>
      </rPr>
      <t xml:space="preserve">n</t>
    </r>
    <r>
      <rPr>
        <vertAlign val="subscript"/>
        <sz val="10"/>
        <rFont val="Arial"/>
        <family val="2"/>
      </rPr>
      <t xml:space="preserve">max</t>
    </r>
  </si>
  <si>
    <r>
      <rPr>
        <sz val="10"/>
        <rFont val="Arial"/>
        <family val="2"/>
      </rPr>
      <t xml:space="preserve">v</t>
    </r>
    <r>
      <rPr>
        <vertAlign val="subscript"/>
        <sz val="10"/>
        <rFont val="Arial"/>
        <family val="2"/>
      </rPr>
      <t xml:space="preserve">schalt</t>
    </r>
  </si>
  <si>
    <r>
      <rPr>
        <sz val="10"/>
        <rFont val="Arial"/>
        <family val="2"/>
      </rPr>
      <t xml:space="preserve">n</t>
    </r>
    <r>
      <rPr>
        <vertAlign val="subscript"/>
        <sz val="10"/>
        <rFont val="Arial"/>
        <family val="2"/>
      </rPr>
      <t xml:space="preserve">Schalt opti</t>
    </r>
  </si>
  <si>
    <r>
      <rPr>
        <sz val="10"/>
        <rFont val="Arial"/>
        <family val="0"/>
      </rPr>
      <t xml:space="preserve">V</t>
    </r>
    <r>
      <rPr>
        <vertAlign val="subscript"/>
        <sz val="10"/>
        <rFont val="Arial"/>
        <family val="2"/>
      </rPr>
      <t xml:space="preserve">Schalt opti</t>
    </r>
  </si>
  <si>
    <r>
      <rPr>
        <sz val="10"/>
        <rFont val="Arial"/>
        <family val="2"/>
      </rPr>
      <t xml:space="preserve">v</t>
    </r>
    <r>
      <rPr>
        <vertAlign val="subscript"/>
        <sz val="10"/>
        <rFont val="Arial"/>
        <family val="2"/>
      </rPr>
      <t xml:space="preserve">min</t>
    </r>
  </si>
  <si>
    <r>
      <rPr>
        <sz val="10"/>
        <rFont val="Arial"/>
        <family val="2"/>
      </rPr>
      <t xml:space="preserve">v</t>
    </r>
    <r>
      <rPr>
        <vertAlign val="subscript"/>
        <sz val="10"/>
        <rFont val="Arial"/>
        <family val="2"/>
      </rPr>
      <t xml:space="preserve">max</t>
    </r>
  </si>
  <si>
    <t xml:space="preserve">Vmax</t>
  </si>
  <si>
    <t xml:space="preserve">V</t>
  </si>
  <si>
    <t xml:space="preserve">F
(Diagramm)</t>
  </si>
  <si>
    <t xml:space="preserve">Fmax</t>
  </si>
  <si>
    <t xml:space="preserve">F
(Rechnung)</t>
  </si>
  <si>
    <t xml:space="preserve">P</t>
  </si>
  <si>
    <t xml:space="preserve">M</t>
  </si>
  <si>
    <t xml:space="preserve">n</t>
  </si>
  <si>
    <t xml:space="preserve">v</t>
  </si>
  <si>
    <t xml:space="preserve">F</t>
  </si>
  <si>
    <t xml:space="preserve">Eta</t>
  </si>
</sst>
</file>

<file path=xl/styles.xml><?xml version="1.0" encoding="utf-8"?>
<styleSheet xmlns="http://schemas.openxmlformats.org/spreadsheetml/2006/main">
  <numFmts count="6">
    <numFmt numFmtId="164" formatCode="General"/>
    <numFmt numFmtId="165" formatCode="0"/>
    <numFmt numFmtId="166" formatCode="0.0"/>
    <numFmt numFmtId="167" formatCode="0\ %"/>
    <numFmt numFmtId="168" formatCode="0.000"/>
    <numFmt numFmtId="169" formatCode="0.00"/>
  </numFmts>
  <fonts count="34">
    <font>
      <sz val="10"/>
      <name val="Arial"/>
      <family val="0"/>
    </font>
    <font>
      <sz val="10"/>
      <name val="Arial"/>
      <family val="0"/>
    </font>
    <font>
      <sz val="10"/>
      <name val="Arial"/>
      <family val="0"/>
    </font>
    <font>
      <sz val="10"/>
      <name val="Arial"/>
      <family val="0"/>
    </font>
    <font>
      <b val="true"/>
      <sz val="10"/>
      <name val="Arial"/>
      <family val="2"/>
    </font>
    <font>
      <b val="true"/>
      <vertAlign val="superscript"/>
      <sz val="10"/>
      <name val="Arial"/>
      <family val="2"/>
    </font>
    <font>
      <sz val="10"/>
      <name val="Arial"/>
      <family val="2"/>
    </font>
    <font>
      <sz val="8"/>
      <name val="Arial"/>
      <family val="2"/>
    </font>
    <font>
      <b val="true"/>
      <vertAlign val="subscript"/>
      <sz val="10"/>
      <name val="Arial"/>
      <family val="2"/>
    </font>
    <font>
      <b val="true"/>
      <sz val="12"/>
      <name val="Arial"/>
      <family val="2"/>
    </font>
    <font>
      <sz val="12"/>
      <name val="Arial"/>
      <family val="2"/>
    </font>
    <font>
      <b val="true"/>
      <sz val="8"/>
      <color rgb="FFFF0000"/>
      <name val="Tahoma"/>
      <family val="2"/>
    </font>
    <font>
      <sz val="8"/>
      <color rgb="FF000000"/>
      <name val="Tahoma"/>
      <family val="2"/>
    </font>
    <font>
      <sz val="8"/>
      <color rgb="FF000000"/>
      <name val="Tahoma"/>
      <family val="0"/>
    </font>
    <font>
      <b val="true"/>
      <sz val="12"/>
      <color rgb="FF000000"/>
      <name val="Arial"/>
      <family val="2"/>
    </font>
    <font>
      <sz val="11"/>
      <color rgb="FF000000"/>
      <name val="Arial"/>
      <family val="2"/>
    </font>
    <font>
      <b val="true"/>
      <sz val="11"/>
      <name val="Arial"/>
      <family val="2"/>
    </font>
    <font>
      <b val="true"/>
      <vertAlign val="superscript"/>
      <sz val="11"/>
      <name val="Arial"/>
      <family val="2"/>
    </font>
    <font>
      <sz val="11"/>
      <color rgb="FF0000FF"/>
      <name val="Arial"/>
      <family val="2"/>
    </font>
    <font>
      <b val="true"/>
      <sz val="11"/>
      <color rgb="FF0000FF"/>
      <name val="Arial"/>
      <family val="2"/>
    </font>
    <font>
      <sz val="14.75"/>
      <color rgb="FF000000"/>
      <name val="Arial"/>
      <family val="2"/>
    </font>
    <font>
      <sz val="11"/>
      <color rgb="FFFF0000"/>
      <name val="Arial"/>
      <family val="2"/>
    </font>
    <font>
      <b val="true"/>
      <sz val="11"/>
      <color rgb="FFFF0000"/>
      <name val="Arial"/>
      <family val="2"/>
    </font>
    <font>
      <b val="true"/>
      <u val="single"/>
      <sz val="10"/>
      <name val="Arial"/>
      <family val="2"/>
    </font>
    <font>
      <b val="true"/>
      <u val="single"/>
      <vertAlign val="subscript"/>
      <sz val="10"/>
      <name val="Arial"/>
      <family val="2"/>
    </font>
    <font>
      <vertAlign val="subscript"/>
      <sz val="10"/>
      <name val="Arial"/>
      <family val="2"/>
    </font>
    <font>
      <sz val="10"/>
      <color rgb="FFFF0000"/>
      <name val="Arial"/>
      <family val="0"/>
    </font>
    <font>
      <u val="single"/>
      <sz val="10"/>
      <name val="Arial"/>
      <family val="2"/>
    </font>
    <font>
      <u val="single"/>
      <vertAlign val="subscript"/>
      <sz val="10"/>
      <name val="Arial"/>
      <family val="2"/>
    </font>
    <font>
      <vertAlign val="superscript"/>
      <sz val="10"/>
      <name val="Arial"/>
      <family val="2"/>
    </font>
    <font>
      <sz val="8"/>
      <color rgb="FFFF0000"/>
      <name val="Tahoma"/>
      <family val="2"/>
    </font>
    <font>
      <vertAlign val="subscript"/>
      <sz val="8"/>
      <color rgb="FF000000"/>
      <name val="Tahoma"/>
      <family val="2"/>
    </font>
    <font>
      <sz val="18.75"/>
      <color rgb="FF000000"/>
      <name val="Arial"/>
      <family val="2"/>
    </font>
    <font>
      <b val="true"/>
      <sz val="14"/>
      <color rgb="FF000000"/>
      <name val="Arial"/>
      <family val="2"/>
    </font>
  </fonts>
  <fills count="7">
    <fill>
      <patternFill patternType="none"/>
    </fill>
    <fill>
      <patternFill patternType="gray125"/>
    </fill>
    <fill>
      <patternFill patternType="solid">
        <fgColor rgb="FFC0C0C0"/>
        <bgColor rgb="FFCCCCFF"/>
      </patternFill>
    </fill>
    <fill>
      <patternFill patternType="solid">
        <fgColor rgb="FFFFFFFF"/>
        <bgColor rgb="FFFFFFCC"/>
      </patternFill>
    </fill>
    <fill>
      <patternFill patternType="solid">
        <fgColor rgb="FFFF0000"/>
        <bgColor rgb="FF993300"/>
      </patternFill>
    </fill>
    <fill>
      <patternFill patternType="solid">
        <fgColor rgb="FFFF6600"/>
        <bgColor rgb="FFFF9900"/>
      </patternFill>
    </fill>
    <fill>
      <patternFill patternType="solid">
        <fgColor rgb="FFFFCC00"/>
        <bgColor rgb="FFFFFF00"/>
      </patternFill>
    </fill>
  </fills>
  <borders count="59">
    <border diagonalUp="false" diagonalDown="false">
      <left/>
      <right/>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right style="thin"/>
      <top style="thin"/>
      <bottom style="medium"/>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style="medium"/>
      <top style="medium"/>
      <bottom style="thin"/>
      <diagonal/>
    </border>
    <border diagonalUp="false" diagonalDown="false">
      <left/>
      <right/>
      <top style="thin"/>
      <bottom style="thin"/>
      <diagonal/>
    </border>
    <border diagonalUp="false" diagonalDown="false">
      <left style="medium"/>
      <right style="thin"/>
      <top style="thin"/>
      <bottom style="medium"/>
      <diagonal/>
    </border>
    <border diagonalUp="false" diagonalDown="false">
      <left style="medium"/>
      <right style="thin"/>
      <top style="medium"/>
      <bottom style="medium"/>
      <diagonal/>
    </border>
    <border diagonalUp="false" diagonalDown="false">
      <left style="medium"/>
      <right style="thin"/>
      <top/>
      <bottom style="thin"/>
      <diagonal/>
    </border>
    <border diagonalUp="false" diagonalDown="false">
      <left/>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false" diagonalDown="false">
      <left style="medium"/>
      <right style="thin"/>
      <top/>
      <bottom/>
      <diagonal/>
    </border>
    <border diagonalUp="false" diagonalDown="false">
      <left style="medium"/>
      <right style="thin"/>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top style="thin"/>
      <bottom style="thin"/>
      <diagonal/>
    </border>
    <border diagonalUp="false" diagonalDown="false">
      <left/>
      <right/>
      <top/>
      <bottom style="thin"/>
      <diagonal/>
    </border>
    <border diagonalUp="false" diagonalDown="false">
      <left/>
      <right style="medium"/>
      <top/>
      <bottom style="thin"/>
      <diagonal/>
    </border>
    <border diagonalUp="false" diagonalDown="false">
      <left/>
      <right style="thin"/>
      <top/>
      <bottom/>
      <diagonal/>
    </border>
    <border diagonalUp="false" diagonalDown="false">
      <left style="medium"/>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top/>
      <bottom/>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thin"/>
      <right/>
      <top style="medium"/>
      <bottom/>
      <diagonal/>
    </border>
    <border diagonalUp="false" diagonalDown="false">
      <left style="thin"/>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true" hidden="false"/>
    </xf>
    <xf numFmtId="165" fontId="6" fillId="0" borderId="2" xfId="0" applyFont="true" applyBorder="true" applyAlignment="true" applyProtection="true">
      <alignment horizontal="center" vertical="center" textRotation="0" wrapText="false" indent="0" shrinkToFit="false"/>
      <protection locked="false" hidden="false"/>
    </xf>
    <xf numFmtId="165" fontId="6" fillId="0" borderId="3" xfId="0" applyFont="true" applyBorder="true" applyAlignment="true" applyProtection="true">
      <alignment horizontal="center" vertical="center" textRotation="0" wrapText="false" indent="0" shrinkToFit="false"/>
      <protection locked="false" hidden="false"/>
    </xf>
    <xf numFmtId="165" fontId="6" fillId="0" borderId="4" xfId="0" applyFont="true" applyBorder="true" applyAlignment="true" applyProtection="true">
      <alignment horizontal="center" vertical="center" textRotation="0" wrapText="false" indent="0" shrinkToFit="false"/>
      <protection locked="false" hidden="false"/>
    </xf>
    <xf numFmtId="164" fontId="4" fillId="2" borderId="5" xfId="0" applyFont="true" applyBorder="true" applyAlignment="true" applyProtection="true">
      <alignment horizontal="left" vertical="center" textRotation="0" wrapText="false" indent="0" shrinkToFit="false"/>
      <protection locked="true" hidden="false"/>
    </xf>
    <xf numFmtId="165" fontId="6" fillId="0" borderId="6" xfId="0" applyFont="true" applyBorder="true" applyAlignment="true" applyProtection="true">
      <alignment horizontal="center" vertical="center" textRotation="0" wrapText="false" indent="0" shrinkToFit="false"/>
      <protection locked="false" hidden="false"/>
    </xf>
    <xf numFmtId="165" fontId="6" fillId="0" borderId="7" xfId="0" applyFont="true" applyBorder="true" applyAlignment="true" applyProtection="true">
      <alignment horizontal="center" vertical="center" textRotation="0" wrapText="false" indent="0" shrinkToFit="false"/>
      <protection locked="false" hidden="false"/>
    </xf>
    <xf numFmtId="165" fontId="6" fillId="0" borderId="8"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true">
      <alignment horizontal="general" vertical="center" textRotation="0" wrapText="true" indent="0" shrinkToFit="false"/>
      <protection locked="false" hidden="false"/>
    </xf>
    <xf numFmtId="164" fontId="6" fillId="0" borderId="6" xfId="0" applyFont="true" applyBorder="true" applyAlignment="true" applyProtection="true">
      <alignment horizontal="center" vertical="center" textRotation="0" wrapText="false" indent="0" shrinkToFit="false"/>
      <protection locked="false" hidden="false"/>
    </xf>
    <xf numFmtId="164" fontId="6" fillId="0" borderId="8" xfId="0" applyFont="true" applyBorder="true" applyAlignment="true" applyProtection="true">
      <alignment horizontal="center" vertical="center" textRotation="0" wrapText="false" indent="0" shrinkToFit="false"/>
      <protection locked="false" hidden="false"/>
    </xf>
    <xf numFmtId="166" fontId="6" fillId="2" borderId="6" xfId="0" applyFont="true" applyBorder="true" applyAlignment="true" applyProtection="true">
      <alignment horizontal="center" vertical="center" textRotation="0" wrapText="false" indent="0" shrinkToFit="false"/>
      <protection locked="true" hidden="false"/>
    </xf>
    <xf numFmtId="166" fontId="6" fillId="2" borderId="8"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false" hidden="false"/>
    </xf>
    <xf numFmtId="166" fontId="6" fillId="2" borderId="9" xfId="0" applyFont="true" applyBorder="true" applyAlignment="true" applyProtection="true">
      <alignment horizontal="center" vertical="center" textRotation="0" wrapText="false" indent="0" shrinkToFit="false"/>
      <protection locked="true" hidden="false"/>
    </xf>
    <xf numFmtId="166" fontId="6" fillId="2" borderId="1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true" indent="0" shrinkToFit="false"/>
      <protection locked="fals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false" hidden="false"/>
    </xf>
    <xf numFmtId="167" fontId="0" fillId="0" borderId="0" xfId="0" applyFont="false" applyBorder="true" applyAlignment="true" applyProtection="true">
      <alignment horizontal="center" vertical="center" textRotation="0" wrapText="false" indent="0" shrinkToFit="false"/>
      <protection locked="false" hidden="false"/>
    </xf>
    <xf numFmtId="165" fontId="0" fillId="0" borderId="0" xfId="0" applyFont="false" applyBorder="false" applyAlignment="true" applyProtection="true">
      <alignment horizontal="general" vertical="center" textRotation="0" wrapText="false" indent="0" shrinkToFit="false"/>
      <protection locked="false" hidden="false"/>
    </xf>
    <xf numFmtId="166" fontId="0" fillId="0" borderId="0" xfId="0" applyFont="false" applyBorder="false" applyAlignment="true" applyProtection="true">
      <alignment horizontal="general" vertical="center" textRotation="0" wrapText="false" indent="0" shrinkToFit="false"/>
      <protection locked="false" hidden="false"/>
    </xf>
    <xf numFmtId="164" fontId="9" fillId="0" borderId="11" xfId="0" applyFont="true" applyBorder="true" applyAlignment="false" applyProtection="false">
      <alignment horizontal="general" vertical="bottom" textRotation="0" wrapText="false" indent="0" shrinkToFit="false"/>
      <protection locked="true" hidden="false"/>
    </xf>
    <xf numFmtId="164" fontId="9" fillId="0" borderId="12" xfId="0" applyFont="true" applyBorder="true" applyAlignment="true" applyProtection="false">
      <alignment horizontal="center" vertical="bottom" textRotation="0" wrapText="false" indent="0" shrinkToFit="false"/>
      <protection locked="true" hidden="false"/>
    </xf>
    <xf numFmtId="164" fontId="9" fillId="0" borderId="13" xfId="0" applyFont="true" applyBorder="true" applyAlignment="true" applyProtection="false">
      <alignment horizontal="center" vertical="bottom" textRotation="0" wrapText="false" indent="0" shrinkToFit="false"/>
      <protection locked="true" hidden="false"/>
    </xf>
    <xf numFmtId="164" fontId="9" fillId="0" borderId="14" xfId="0" applyFont="true" applyBorder="true" applyAlignment="true" applyProtection="false">
      <alignment horizontal="center" vertical="bottom" textRotation="0" wrapText="false" indent="0" shrinkToFit="false"/>
      <protection locked="true" hidden="false"/>
    </xf>
    <xf numFmtId="164" fontId="9" fillId="0" borderId="15" xfId="0" applyFont="true" applyBorder="true" applyAlignment="false" applyProtection="false">
      <alignment horizontal="general" vertical="bottom" textRotation="0" wrapText="false" indent="0" shrinkToFit="false"/>
      <protection locked="true" hidden="false"/>
    </xf>
    <xf numFmtId="166" fontId="10" fillId="0" borderId="16" xfId="0" applyFont="true" applyBorder="true" applyAlignment="true" applyProtection="false">
      <alignment horizontal="center" vertical="bottom" textRotation="0" wrapText="false" indent="0" shrinkToFit="false"/>
      <protection locked="true" hidden="false"/>
    </xf>
    <xf numFmtId="166" fontId="10" fillId="0" borderId="17" xfId="0" applyFont="true" applyBorder="true" applyAlignment="true" applyProtection="false">
      <alignment horizontal="center" vertical="bottom" textRotation="0" wrapText="false" indent="0" shrinkToFit="false"/>
      <protection locked="true" hidden="false"/>
    </xf>
    <xf numFmtId="166" fontId="10" fillId="0" borderId="18" xfId="0" applyFont="true" applyBorder="true" applyAlignment="true" applyProtection="false">
      <alignment horizontal="center" vertical="bottom" textRotation="0" wrapText="false" indent="0" shrinkToFit="false"/>
      <protection locked="true" hidden="false"/>
    </xf>
    <xf numFmtId="164" fontId="9" fillId="0" borderId="19" xfId="0" applyFont="true" applyBorder="true" applyAlignment="false" applyProtection="false">
      <alignment horizontal="general" vertical="bottom" textRotation="0" wrapText="false" indent="0" shrinkToFit="false"/>
      <protection locked="true" hidden="false"/>
    </xf>
    <xf numFmtId="166" fontId="10" fillId="0" borderId="7" xfId="0" applyFont="true" applyBorder="true" applyAlignment="true" applyProtection="false">
      <alignment horizontal="center" vertical="bottom" textRotation="0" wrapText="false" indent="0" shrinkToFit="false"/>
      <protection locked="true" hidden="false"/>
    </xf>
    <xf numFmtId="166" fontId="10" fillId="0" borderId="6" xfId="0" applyFont="true" applyBorder="true" applyAlignment="true" applyProtection="false">
      <alignment horizontal="center" vertical="bottom" textRotation="0" wrapText="false" indent="0" shrinkToFit="false"/>
      <protection locked="true" hidden="false"/>
    </xf>
    <xf numFmtId="166" fontId="10" fillId="0" borderId="8" xfId="0" applyFont="true" applyBorder="true" applyAlignment="true" applyProtection="false">
      <alignment horizontal="center" vertical="bottom" textRotation="0" wrapText="false" indent="0" shrinkToFit="false"/>
      <protection locked="true" hidden="false"/>
    </xf>
    <xf numFmtId="164" fontId="9" fillId="0" borderId="20" xfId="0" applyFont="true" applyBorder="true" applyAlignment="false" applyProtection="false">
      <alignment horizontal="general" vertical="bottom" textRotation="0" wrapText="false" indent="0" shrinkToFit="false"/>
      <protection locked="true" hidden="false"/>
    </xf>
    <xf numFmtId="166" fontId="10" fillId="0" borderId="21" xfId="0" applyFont="true" applyBorder="true" applyAlignment="true" applyProtection="false">
      <alignment horizontal="center" vertical="bottom" textRotation="0" wrapText="false" indent="0" shrinkToFit="false"/>
      <protection locked="true" hidden="false"/>
    </xf>
    <xf numFmtId="166" fontId="10" fillId="0" borderId="9" xfId="0" applyFont="true" applyBorder="true" applyAlignment="true" applyProtection="false">
      <alignment horizontal="center" vertical="bottom" textRotation="0" wrapText="false" indent="0" shrinkToFit="false"/>
      <protection locked="true" hidden="false"/>
    </xf>
    <xf numFmtId="166" fontId="10" fillId="0"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9" fillId="0" borderId="22" xfId="0" applyFont="true" applyBorder="true" applyAlignment="true" applyProtection="false">
      <alignment horizontal="center" vertical="center" textRotation="0" wrapText="true" indent="0" shrinkToFit="false"/>
      <protection locked="true" hidden="false"/>
    </xf>
    <xf numFmtId="164" fontId="4" fillId="2" borderId="23" xfId="0" applyFont="true" applyBorder="true" applyAlignment="true" applyProtection="true">
      <alignment horizontal="center" vertical="center" textRotation="0" wrapText="true" indent="0" shrinkToFit="false"/>
      <protection locked="true" hidden="false"/>
    </xf>
    <xf numFmtId="164" fontId="4" fillId="2" borderId="24" xfId="0" applyFont="true" applyBorder="true" applyAlignment="true" applyProtection="true">
      <alignment horizontal="center" vertical="center" textRotation="0" wrapText="true" indent="0" shrinkToFit="false"/>
      <protection locked="true" hidden="false"/>
    </xf>
    <xf numFmtId="164" fontId="23" fillId="2" borderId="5" xfId="0" applyFont="true" applyBorder="true" applyAlignment="true" applyProtection="true">
      <alignment horizontal="center" vertical="center" textRotation="0" wrapText="true" indent="0" shrinkToFit="false"/>
      <protection locked="true" hidden="false"/>
    </xf>
    <xf numFmtId="164" fontId="4" fillId="2" borderId="25" xfId="0" applyFont="true" applyBorder="true" applyAlignment="true" applyProtection="true">
      <alignment horizontal="center" vertical="center" textRotation="0" wrapText="true" indent="0" shrinkToFit="false"/>
      <protection locked="true" hidden="false"/>
    </xf>
    <xf numFmtId="164" fontId="23" fillId="2" borderId="6" xfId="0" applyFont="true" applyBorder="true" applyAlignment="true" applyProtection="true">
      <alignment horizontal="center" vertical="center" textRotation="0" wrapText="true" indent="0" shrinkToFit="false"/>
      <protection locked="true" hidden="false"/>
    </xf>
    <xf numFmtId="164" fontId="4" fillId="2" borderId="6" xfId="0" applyFont="true" applyBorder="true" applyAlignment="true" applyProtection="true">
      <alignment horizontal="center" vertical="center" textRotation="0" wrapText="true" indent="0" shrinkToFit="false"/>
      <protection locked="true" hidden="false"/>
    </xf>
    <xf numFmtId="164" fontId="4" fillId="2" borderId="8" xfId="0" applyFont="true" applyBorder="true" applyAlignment="true" applyProtection="true">
      <alignment horizontal="center" vertical="center" textRotation="0" wrapText="true" indent="0" shrinkToFit="false"/>
      <protection locked="true" hidden="false"/>
    </xf>
    <xf numFmtId="164" fontId="4" fillId="2" borderId="8" xfId="0" applyFont="true" applyBorder="true" applyAlignment="true" applyProtection="true">
      <alignment horizontal="center" vertical="center" textRotation="0" wrapText="false" indent="0" shrinkToFit="false"/>
      <protection locked="true" hidden="false"/>
    </xf>
    <xf numFmtId="165" fontId="0" fillId="0" borderId="26" xfId="0" applyFont="false" applyBorder="true" applyAlignment="true" applyProtection="true">
      <alignment horizontal="center" vertical="center" textRotation="0" wrapText="false" indent="0" shrinkToFit="false"/>
      <protection locked="false" hidden="false"/>
    </xf>
    <xf numFmtId="165" fontId="0" fillId="0" borderId="9" xfId="0" applyFont="false" applyBorder="true" applyAlignment="true" applyProtection="true">
      <alignment horizontal="center" vertical="center" textRotation="0" wrapText="false" indent="0" shrinkToFit="false"/>
      <protection locked="false" hidden="false"/>
    </xf>
    <xf numFmtId="165" fontId="0" fillId="0" borderId="9" xfId="0" applyFont="true" applyBorder="true" applyAlignment="true" applyProtection="true">
      <alignment horizontal="center" vertical="center" textRotation="0" wrapText="true" indent="0" shrinkToFit="false"/>
      <protection locked="false" hidden="false"/>
    </xf>
    <xf numFmtId="168" fontId="0" fillId="0" borderId="9" xfId="0" applyFont="false" applyBorder="true" applyAlignment="true" applyProtection="true">
      <alignment horizontal="center" vertical="center" textRotation="0" wrapText="false" indent="0" shrinkToFit="false"/>
      <protection locked="false" hidden="false"/>
    </xf>
    <xf numFmtId="164" fontId="0" fillId="0" borderId="10" xfId="0" applyFont="false" applyBorder="true" applyAlignment="true" applyProtection="true">
      <alignment horizontal="center" vertical="center" textRotation="0" wrapText="false" indent="0" shrinkToFit="false"/>
      <protection locked="false" hidden="false"/>
    </xf>
    <xf numFmtId="164" fontId="0" fillId="0" borderId="26" xfId="0" applyFont="false" applyBorder="true" applyAlignment="true" applyProtection="true">
      <alignment horizontal="center" vertical="center" textRotation="0" wrapText="false" indent="0" shrinkToFit="false"/>
      <protection locked="false" hidden="false"/>
    </xf>
    <xf numFmtId="164" fontId="0" fillId="0" borderId="9" xfId="0" applyFont="false" applyBorder="true" applyAlignment="true" applyProtection="true">
      <alignment horizontal="center" vertical="center" textRotation="0" wrapText="false" indent="0" shrinkToFit="false"/>
      <protection locked="false" hidden="false"/>
    </xf>
    <xf numFmtId="169" fontId="0" fillId="0" borderId="9" xfId="0" applyFont="false" applyBorder="true" applyAlignment="true" applyProtection="true">
      <alignment horizontal="center" vertical="center" textRotation="0" wrapText="false" indent="0" shrinkToFit="false"/>
      <protection locked="false" hidden="false"/>
    </xf>
    <xf numFmtId="169" fontId="0" fillId="0" borderId="10"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4" fillId="2" borderId="3" xfId="0" applyFont="true" applyBorder="true" applyAlignment="true" applyProtection="true">
      <alignment horizontal="left" vertical="center" textRotation="0" wrapText="fals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true" hidden="false"/>
    </xf>
    <xf numFmtId="164" fontId="4" fillId="2" borderId="4" xfId="0" applyFont="true" applyBorder="true" applyAlignment="true" applyProtection="true">
      <alignment horizontal="center" vertical="center" textRotation="0" wrapText="true" indent="0" shrinkToFit="false"/>
      <protection locked="true" hidden="false"/>
    </xf>
    <xf numFmtId="164" fontId="23" fillId="2" borderId="24" xfId="0" applyFont="true" applyBorder="true" applyAlignment="true" applyProtection="true">
      <alignment horizontal="center" vertical="center" textRotation="0" wrapText="true" indent="0" shrinkToFit="false"/>
      <protection locked="true" hidden="false"/>
    </xf>
    <xf numFmtId="165" fontId="6" fillId="0" borderId="16" xfId="0" applyFont="true" applyBorder="true" applyAlignment="true" applyProtection="true">
      <alignment horizontal="center" vertical="center" textRotation="0" wrapText="false" indent="0" shrinkToFit="false"/>
      <protection locked="true" hidden="false"/>
    </xf>
    <xf numFmtId="164" fontId="0" fillId="0" borderId="6" xfId="0" applyFont="false" applyBorder="true" applyAlignment="true" applyProtection="true">
      <alignment horizontal="center" vertical="center" textRotation="0" wrapText="false" indent="0" shrinkToFit="false"/>
      <protection locked="false" hidden="false"/>
    </xf>
    <xf numFmtId="164" fontId="0" fillId="0" borderId="8" xfId="0" applyFont="false" applyBorder="true" applyAlignment="true" applyProtection="true">
      <alignment horizontal="center" vertical="center" textRotation="0" wrapText="false" indent="0" shrinkToFit="false"/>
      <protection locked="false" hidden="false"/>
    </xf>
    <xf numFmtId="164" fontId="4" fillId="2" borderId="26" xfId="0" applyFont="true" applyBorder="true" applyAlignment="true" applyProtection="true">
      <alignment horizontal="left" vertical="center" textRotation="0" wrapText="false" indent="0" shrinkToFit="false"/>
      <protection locked="true" hidden="false"/>
    </xf>
    <xf numFmtId="165" fontId="0" fillId="0" borderId="20" xfId="0" applyFont="false" applyBorder="true" applyAlignment="true" applyProtection="true">
      <alignment horizontal="center" vertical="center" textRotation="0" wrapText="false" indent="0" shrinkToFit="false"/>
      <protection locked="false" hidden="false"/>
    </xf>
    <xf numFmtId="164" fontId="9" fillId="0" borderId="0" xfId="0" applyFont="true" applyBorder="true" applyAlignment="true" applyProtection="true">
      <alignment horizontal="center" vertical="center" textRotation="0" wrapText="false" indent="0" shrinkToFit="false"/>
      <protection locked="false" hidden="false"/>
    </xf>
    <xf numFmtId="167" fontId="0" fillId="0" borderId="0" xfId="0" applyFont="false" applyBorder="true" applyAlignment="true" applyProtection="false">
      <alignment horizontal="right" vertical="center" textRotation="0" wrapText="false" indent="0" shrinkToFit="false"/>
      <protection locked="true" hidden="false"/>
    </xf>
    <xf numFmtId="164" fontId="6" fillId="2" borderId="24"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19"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center" vertical="center" textRotation="0" wrapText="false" indent="0" shrinkToFit="false"/>
      <protection locked="false" hidden="false"/>
    </xf>
    <xf numFmtId="167" fontId="0" fillId="0" borderId="19" xfId="0" applyFont="false" applyBorder="true" applyAlignment="true" applyProtection="true">
      <alignment horizontal="center" vertical="center" textRotation="0" wrapText="false" indent="0" shrinkToFit="false"/>
      <protection locked="false" hidden="false"/>
    </xf>
    <xf numFmtId="164" fontId="0" fillId="2" borderId="27" xfId="0" applyFont="true" applyBorder="true" applyAlignment="true" applyProtection="false">
      <alignment horizontal="center" vertical="center"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0" fillId="2" borderId="28" xfId="0" applyFont="true" applyBorder="true" applyAlignment="true" applyProtection="false">
      <alignment horizontal="center" vertical="center" textRotation="0" wrapText="false" indent="0" shrinkToFit="false"/>
      <protection locked="true" hidden="false"/>
    </xf>
    <xf numFmtId="164" fontId="0" fillId="0" borderId="18" xfId="0" applyFont="false" applyBorder="true" applyAlignment="true" applyProtection="false">
      <alignment horizontal="center" vertical="center" textRotation="0" wrapText="false" indent="0" shrinkToFit="false"/>
      <protection locked="true" hidden="false"/>
    </xf>
    <xf numFmtId="167" fontId="26" fillId="0" borderId="0" xfId="0" applyFont="true" applyBorder="true" applyAlignment="true" applyProtection="false">
      <alignment horizontal="right" vertical="center" textRotation="0" wrapText="false" indent="0" shrinkToFit="fals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5" fontId="0" fillId="0" borderId="8"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7" fontId="26" fillId="3" borderId="19" xfId="0" applyFont="true" applyBorder="true" applyAlignment="true" applyProtection="true">
      <alignment horizontal="center" vertical="center" textRotation="0" wrapText="false" indent="0" shrinkToFit="false"/>
      <protection locked="false" hidden="false"/>
    </xf>
    <xf numFmtId="164" fontId="0" fillId="2" borderId="26" xfId="0" applyFont="tru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7" fontId="0" fillId="0" borderId="20" xfId="0" applyFont="false" applyBorder="true" applyAlignment="true" applyProtection="true">
      <alignment horizontal="center" vertical="center" textRotation="0" wrapText="false" indent="0" shrinkToFit="false"/>
      <protection locked="false" hidden="false"/>
    </xf>
    <xf numFmtId="165" fontId="0" fillId="0" borderId="0" xfId="0" applyFont="false" applyBorder="fals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29" xfId="0" applyFont="false" applyBorder="true" applyAlignment="true" applyProtection="false">
      <alignment horizontal="center" vertical="center" textRotation="0" wrapText="false" indent="0" shrinkToFit="false"/>
      <protection locked="true" hidden="false"/>
    </xf>
    <xf numFmtId="164" fontId="0" fillId="0" borderId="30" xfId="0" applyFont="false" applyBorder="true" applyAlignment="true" applyProtection="false">
      <alignment horizontal="center" vertical="center" textRotation="0" wrapText="false" indent="0" shrinkToFit="false"/>
      <protection locked="true" hidden="false"/>
    </xf>
    <xf numFmtId="164" fontId="0" fillId="0" borderId="31" xfId="0" applyFont="false" applyBorder="true" applyAlignment="true" applyProtection="false">
      <alignment horizontal="center" vertical="center" textRotation="0" wrapText="false" indent="0" shrinkToFit="false"/>
      <protection locked="true" hidden="false"/>
    </xf>
    <xf numFmtId="164" fontId="0" fillId="0" borderId="15" xfId="0" applyFont="true" applyBorder="true" applyAlignment="true" applyProtection="false">
      <alignment horizontal="center" vertical="center" textRotation="0" wrapText="false" indent="0" shrinkToFit="false"/>
      <protection locked="true" hidden="false"/>
    </xf>
    <xf numFmtId="165" fontId="0" fillId="0" borderId="1" xfId="0" applyFont="false" applyBorder="true" applyAlignment="true" applyProtection="false">
      <alignment horizontal="center" vertical="center" textRotation="0" wrapText="false" indent="0" shrinkToFit="false"/>
      <protection locked="true" hidden="false"/>
    </xf>
    <xf numFmtId="165" fontId="0" fillId="0" borderId="2" xfId="0" applyFont="false" applyBorder="true" applyAlignment="true" applyProtection="false">
      <alignment horizontal="center" vertical="center" textRotation="0" wrapText="false" indent="0" shrinkToFit="false"/>
      <protection locked="true" hidden="false"/>
    </xf>
    <xf numFmtId="165" fontId="0" fillId="0" borderId="4" xfId="0" applyFont="fals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5" fontId="0" fillId="0" borderId="26" xfId="0" applyFont="fals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center" vertical="center" textRotation="0" wrapText="false" indent="0" shrinkToFit="false"/>
      <protection locked="true" hidden="false"/>
    </xf>
    <xf numFmtId="165" fontId="0" fillId="0" borderId="10" xfId="0" applyFont="false" applyBorder="true" applyAlignment="true" applyProtection="false">
      <alignment horizontal="center" vertical="center" textRotation="0" wrapText="false" indent="0" shrinkToFit="false"/>
      <protection locked="true" hidden="false"/>
    </xf>
    <xf numFmtId="164" fontId="27" fillId="0" borderId="27" xfId="0" applyFont="true" applyBorder="true" applyAlignment="true" applyProtection="false">
      <alignment horizontal="center" vertical="center" textRotation="0" wrapText="true" indent="0" shrinkToFit="false"/>
      <protection locked="true" hidden="false"/>
    </xf>
    <xf numFmtId="164" fontId="27" fillId="0" borderId="13" xfId="0" applyFont="true" applyBorder="true" applyAlignment="true" applyProtection="false">
      <alignment horizontal="center" vertical="center" textRotation="0" wrapText="true" indent="0" shrinkToFit="false"/>
      <protection locked="true" hidden="false"/>
    </xf>
    <xf numFmtId="164" fontId="27" fillId="0" borderId="14" xfId="0" applyFont="true" applyBorder="true" applyAlignment="true" applyProtection="false">
      <alignment horizontal="center" vertical="center" textRotation="0" wrapText="true" indent="0" shrinkToFit="false"/>
      <protection locked="true" hidden="false"/>
    </xf>
    <xf numFmtId="164" fontId="0" fillId="0" borderId="32" xfId="0" applyFont="false" applyBorder="true" applyAlignment="true" applyProtection="false">
      <alignment horizontal="center" vertical="center" textRotation="0" wrapText="false" indent="0" shrinkToFit="false"/>
      <protection locked="true" hidden="false"/>
    </xf>
    <xf numFmtId="164" fontId="0" fillId="0" borderId="17" xfId="0" applyFont="false" applyBorder="true" applyAlignment="true" applyProtection="false">
      <alignment horizontal="center" vertical="center" textRotation="0" wrapText="false" indent="0" shrinkToFit="false"/>
      <protection locked="true" hidden="false"/>
    </xf>
    <xf numFmtId="165" fontId="0" fillId="0" borderId="28" xfId="0" applyFont="false" applyBorder="true" applyAlignment="true" applyProtection="false">
      <alignment horizontal="center" vertical="center" textRotation="0" wrapText="false" indent="0" shrinkToFit="false"/>
      <protection locked="true" hidden="false"/>
    </xf>
    <xf numFmtId="165" fontId="0" fillId="0" borderId="17" xfId="0" applyFont="false" applyBorder="true" applyAlignment="true" applyProtection="false">
      <alignment horizontal="center" vertical="center" textRotation="0" wrapText="false" indent="0" shrinkToFit="false"/>
      <protection locked="true" hidden="false"/>
    </xf>
    <xf numFmtId="165" fontId="0" fillId="0" borderId="18" xfId="0" applyFont="false" applyBorder="true" applyAlignment="true" applyProtection="false">
      <alignment horizontal="center" vertical="center" textRotation="0" wrapText="false" indent="0" shrinkToFit="false"/>
      <protection locked="true" hidden="false"/>
    </xf>
    <xf numFmtId="164" fontId="0" fillId="0" borderId="33" xfId="0" applyFont="false" applyBorder="true" applyAlignment="true" applyProtection="false">
      <alignment horizontal="center" vertical="center" textRotation="0" wrapText="false" indent="0" shrinkToFit="false"/>
      <protection locked="true" hidden="false"/>
    </xf>
    <xf numFmtId="165" fontId="0" fillId="0" borderId="5" xfId="0" applyFont="false" applyBorder="true" applyAlignment="true" applyProtection="false">
      <alignment horizontal="center" vertical="center" textRotation="0" wrapText="false" indent="0" shrinkToFit="false"/>
      <protection locked="true" hidden="false"/>
    </xf>
    <xf numFmtId="165" fontId="0" fillId="0" borderId="6" xfId="0" applyFont="false" applyBorder="true" applyAlignment="true" applyProtection="false">
      <alignment horizontal="center" vertical="center" textRotation="0" wrapText="false" indent="0" shrinkToFit="false"/>
      <protection locked="true" hidden="false"/>
    </xf>
    <xf numFmtId="164" fontId="0" fillId="4" borderId="6" xfId="0" applyFont="false" applyBorder="true" applyAlignment="true" applyProtection="false">
      <alignment horizontal="center" vertical="center" textRotation="0" wrapText="false" indent="0" shrinkToFit="false"/>
      <protection locked="true" hidden="false"/>
    </xf>
    <xf numFmtId="165" fontId="0" fillId="4" borderId="8" xfId="0" applyFont="false" applyBorder="true" applyAlignment="true" applyProtection="false">
      <alignment horizontal="center" vertical="center" textRotation="0" wrapText="false" indent="0" shrinkToFit="false"/>
      <protection locked="true" hidden="false"/>
    </xf>
    <xf numFmtId="165" fontId="0" fillId="4" borderId="5" xfId="0" applyFont="false" applyBorder="true" applyAlignment="true" applyProtection="false">
      <alignment horizontal="center" vertical="center" textRotation="0" wrapText="false" indent="0" shrinkToFit="false"/>
      <protection locked="true" hidden="false"/>
    </xf>
    <xf numFmtId="165" fontId="0" fillId="4" borderId="6" xfId="0" applyFont="false" applyBorder="true" applyAlignment="true" applyProtection="false">
      <alignment horizontal="center" vertical="center" textRotation="0" wrapText="false" indent="0" shrinkToFit="false"/>
      <protection locked="true" hidden="false"/>
    </xf>
    <xf numFmtId="164" fontId="0" fillId="5" borderId="6" xfId="0" applyFont="false" applyBorder="true" applyAlignment="true" applyProtection="false">
      <alignment horizontal="center" vertical="center" textRotation="0" wrapText="false" indent="0" shrinkToFit="false"/>
      <protection locked="true" hidden="false"/>
    </xf>
    <xf numFmtId="165" fontId="0" fillId="5" borderId="8" xfId="0" applyFont="false" applyBorder="true" applyAlignment="true" applyProtection="false">
      <alignment horizontal="center" vertical="center" textRotation="0" wrapText="false" indent="0" shrinkToFit="false"/>
      <protection locked="true" hidden="false"/>
    </xf>
    <xf numFmtId="165" fontId="0" fillId="5" borderId="5" xfId="0" applyFont="false" applyBorder="true" applyAlignment="true" applyProtection="false">
      <alignment horizontal="center" vertical="center" textRotation="0" wrapText="false" indent="0" shrinkToFit="false"/>
      <protection locked="true" hidden="false"/>
    </xf>
    <xf numFmtId="165" fontId="0" fillId="5" borderId="6" xfId="0" applyFont="false" applyBorder="true" applyAlignment="true" applyProtection="false">
      <alignment horizontal="center" vertical="center" textRotation="0" wrapText="false" indent="0" shrinkToFit="false"/>
      <protection locked="true" hidden="false"/>
    </xf>
    <xf numFmtId="164" fontId="0" fillId="6" borderId="6" xfId="0" applyFont="false" applyBorder="true" applyAlignment="true" applyProtection="false">
      <alignment horizontal="center" vertical="center" textRotation="0" wrapText="false" indent="0" shrinkToFit="false"/>
      <protection locked="true" hidden="false"/>
    </xf>
    <xf numFmtId="165" fontId="0" fillId="6" borderId="8" xfId="0" applyFont="false" applyBorder="true" applyAlignment="true" applyProtection="false">
      <alignment horizontal="center" vertical="center" textRotation="0" wrapText="false" indent="0" shrinkToFit="false"/>
      <protection locked="true" hidden="false"/>
    </xf>
    <xf numFmtId="165" fontId="0" fillId="6" borderId="5" xfId="0" applyFont="false" applyBorder="true" applyAlignment="true" applyProtection="false">
      <alignment horizontal="center" vertical="center" textRotation="0" wrapText="false" indent="0" shrinkToFit="false"/>
      <protection locked="true" hidden="false"/>
    </xf>
    <xf numFmtId="165" fontId="0" fillId="6" borderId="6" xfId="0" applyFont="false" applyBorder="true" applyAlignment="true" applyProtection="false">
      <alignment horizontal="center" vertical="center" textRotation="0" wrapText="false" indent="0" shrinkToFit="false"/>
      <protection locked="true" hidden="false"/>
    </xf>
    <xf numFmtId="164" fontId="0" fillId="0" borderId="34" xfId="0" applyFont="fals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6" fillId="2" borderId="35" xfId="0" applyFont="true" applyBorder="true" applyAlignment="true" applyProtection="true">
      <alignment horizontal="center" vertical="center" textRotation="0" wrapText="false" indent="0" shrinkToFit="false"/>
      <protection locked="true" hidden="false"/>
    </xf>
    <xf numFmtId="165" fontId="6" fillId="2" borderId="36" xfId="0" applyFont="true" applyBorder="true" applyAlignment="true" applyProtection="true">
      <alignment horizontal="center" vertical="center" textRotation="0" wrapText="false" indent="0" shrinkToFit="false"/>
      <protection locked="true" hidden="false"/>
    </xf>
    <xf numFmtId="165" fontId="6" fillId="2" borderId="37" xfId="0" applyFont="true" applyBorder="true" applyAlignment="true" applyProtection="true">
      <alignment horizontal="center" vertical="center" textRotation="0" wrapText="false" indent="0" shrinkToFit="false"/>
      <protection locked="true" hidden="false"/>
    </xf>
    <xf numFmtId="164" fontId="6" fillId="2" borderId="38" xfId="0" applyFont="true" applyBorder="true" applyAlignment="true" applyProtection="true">
      <alignment horizontal="center"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true" hidden="false"/>
    </xf>
    <xf numFmtId="165" fontId="6" fillId="2" borderId="39" xfId="0" applyFont="true" applyBorder="true" applyAlignment="true" applyProtection="true">
      <alignment horizontal="center" vertical="center" textRotation="0" wrapText="false" indent="0" shrinkToFit="false"/>
      <protection locked="true" hidden="false"/>
    </xf>
    <xf numFmtId="164" fontId="6" fillId="2" borderId="40" xfId="0" applyFont="true" applyBorder="true" applyAlignment="true" applyProtection="true">
      <alignment horizontal="center" vertical="center" textRotation="0" wrapText="false" indent="0" shrinkToFit="false"/>
      <protection locked="true" hidden="false"/>
    </xf>
    <xf numFmtId="165" fontId="6" fillId="2" borderId="22" xfId="0" applyFont="true" applyBorder="true" applyAlignment="true" applyProtection="true">
      <alignment horizontal="center" vertical="center" textRotation="0" wrapText="false" indent="0" shrinkToFit="false"/>
      <protection locked="true" hidden="false"/>
    </xf>
    <xf numFmtId="165" fontId="6" fillId="2" borderId="41"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center" vertical="center" textRotation="0" wrapText="false" indent="0" shrinkToFit="false"/>
      <protection locked="false" hidden="false"/>
    </xf>
    <xf numFmtId="164" fontId="6" fillId="2" borderId="35" xfId="0" applyFont="true" applyBorder="true" applyAlignment="true" applyProtection="true">
      <alignment horizontal="general" vertical="center" textRotation="0" wrapText="false" indent="0" shrinkToFit="false"/>
      <protection locked="true" hidden="false"/>
    </xf>
    <xf numFmtId="164" fontId="6" fillId="2" borderId="36" xfId="0" applyFont="true" applyBorder="true" applyAlignment="true" applyProtection="true">
      <alignment horizontal="general" vertical="center" textRotation="0" wrapText="false" indent="0" shrinkToFit="false"/>
      <protection locked="true" hidden="false"/>
    </xf>
    <xf numFmtId="164" fontId="6" fillId="2" borderId="36" xfId="0" applyFont="true" applyBorder="true" applyAlignment="true" applyProtection="true">
      <alignment horizontal="center" vertical="center" textRotation="0" wrapText="false" indent="0" shrinkToFit="false"/>
      <protection locked="true" hidden="false"/>
    </xf>
    <xf numFmtId="164" fontId="0" fillId="2" borderId="36" xfId="0" applyFont="true" applyBorder="true" applyAlignment="true" applyProtection="false">
      <alignment horizontal="general" vertical="center" textRotation="0" wrapText="false" indent="0" shrinkToFit="false"/>
      <protection locked="true" hidden="false"/>
    </xf>
    <xf numFmtId="164" fontId="0" fillId="2" borderId="37" xfId="0" applyFont="false" applyBorder="true" applyAlignment="true" applyProtection="false">
      <alignment horizontal="general" vertical="center" textRotation="0" wrapText="false" indent="0" shrinkToFit="false"/>
      <protection locked="true" hidden="false"/>
    </xf>
    <xf numFmtId="164" fontId="6" fillId="2" borderId="37" xfId="0" applyFont="true" applyBorder="true" applyAlignment="true" applyProtection="true">
      <alignment horizontal="general" vertical="center" textRotation="0" wrapText="false" indent="0" shrinkToFit="false"/>
      <protection locked="true" hidden="false"/>
    </xf>
    <xf numFmtId="165" fontId="6" fillId="2" borderId="38" xfId="0" applyFont="true" applyBorder="true" applyAlignment="true" applyProtection="true">
      <alignment horizontal="general"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false" hidden="false"/>
    </xf>
    <xf numFmtId="165" fontId="0" fillId="2" borderId="39" xfId="0" applyFont="false" applyBorder="true" applyAlignment="true" applyProtection="false">
      <alignment horizontal="center" vertical="center" textRotation="0" wrapText="false" indent="0" shrinkToFit="false"/>
      <protection locked="true" hidden="false"/>
    </xf>
    <xf numFmtId="164" fontId="6" fillId="2" borderId="38" xfId="0" applyFont="true" applyBorder="true" applyAlignment="true" applyProtection="true">
      <alignment horizontal="general" vertical="center" textRotation="0" wrapText="false" indent="0" shrinkToFit="false"/>
      <protection locked="false" hidden="false"/>
    </xf>
    <xf numFmtId="165" fontId="6" fillId="2" borderId="0" xfId="0" applyFont="true" applyBorder="true" applyAlignment="true" applyProtection="true">
      <alignment horizontal="general" vertical="center" textRotation="0" wrapText="false" indent="0" shrinkToFit="false"/>
      <protection locked="false" hidden="false"/>
    </xf>
    <xf numFmtId="164" fontId="6" fillId="2" borderId="0" xfId="0" applyFont="true" applyBorder="true" applyAlignment="true" applyProtection="true">
      <alignment horizontal="general" vertical="center" textRotation="0" wrapText="false" indent="0" shrinkToFit="false"/>
      <protection locked="false" hidden="false"/>
    </xf>
    <xf numFmtId="164" fontId="6" fillId="2" borderId="39" xfId="0" applyFont="true" applyBorder="true" applyAlignment="true" applyProtection="true">
      <alignment horizontal="general" vertical="center" textRotation="0" wrapText="false" indent="0" shrinkToFit="false"/>
      <protection locked="false" hidden="false"/>
    </xf>
    <xf numFmtId="164" fontId="6" fillId="0" borderId="0" xfId="0" applyFont="true" applyBorder="false" applyAlignment="true" applyProtection="true">
      <alignment horizontal="general" vertical="center" textRotation="0" wrapText="false" indent="0" shrinkToFit="false"/>
      <protection locked="false" hidden="false"/>
    </xf>
    <xf numFmtId="165" fontId="6" fillId="2" borderId="39" xfId="0" applyFont="true" applyBorder="true" applyAlignment="true" applyProtection="true">
      <alignment horizontal="center" vertical="center" textRotation="0" wrapText="false" indent="0" shrinkToFit="false"/>
      <protection locked="false" hidden="false"/>
    </xf>
    <xf numFmtId="165" fontId="6" fillId="2" borderId="40" xfId="0" applyFont="true" applyBorder="true" applyAlignment="true" applyProtection="true">
      <alignment horizontal="general" vertical="center" textRotation="0" wrapText="false" indent="0" shrinkToFit="false"/>
      <protection locked="true" hidden="false"/>
    </xf>
    <xf numFmtId="165" fontId="0" fillId="2" borderId="22" xfId="0" applyFont="false" applyBorder="true" applyAlignment="true" applyProtection="false">
      <alignment horizontal="center" vertical="center" textRotation="0" wrapText="false" indent="0" shrinkToFit="false"/>
      <protection locked="true" hidden="false"/>
    </xf>
    <xf numFmtId="165" fontId="0" fillId="2" borderId="41" xfId="0" applyFont="false" applyBorder="true" applyAlignment="true" applyProtection="false">
      <alignment horizontal="center" vertical="center" textRotation="0" wrapText="false" indent="0" shrinkToFit="false"/>
      <protection locked="true" hidden="false"/>
    </xf>
    <xf numFmtId="164" fontId="6" fillId="2" borderId="40" xfId="0" applyFont="true" applyBorder="true" applyAlignment="true" applyProtection="true">
      <alignment horizontal="general" vertical="center" textRotation="0" wrapText="false" indent="0" shrinkToFit="false"/>
      <protection locked="false" hidden="false"/>
    </xf>
    <xf numFmtId="164" fontId="6" fillId="2" borderId="22" xfId="0" applyFont="true" applyBorder="true" applyAlignment="true" applyProtection="true">
      <alignment horizontal="general" vertical="center" textRotation="0" wrapText="false" indent="0" shrinkToFit="false"/>
      <protection locked="false" hidden="false"/>
    </xf>
    <xf numFmtId="164" fontId="6" fillId="2" borderId="41" xfId="0" applyFont="true" applyBorder="true" applyAlignment="true" applyProtection="true">
      <alignment horizontal="general" vertical="center" textRotation="0" wrapText="false" indent="0" shrinkToFit="false"/>
      <protection locked="false" hidden="false"/>
    </xf>
    <xf numFmtId="165" fontId="6" fillId="0" borderId="0" xfId="0" applyFont="true" applyBorder="false" applyAlignment="true" applyProtection="true">
      <alignment horizontal="general" vertical="center" textRotation="0" wrapText="false" indent="0" shrinkToFit="false"/>
      <protection locked="false" hidden="false"/>
    </xf>
    <xf numFmtId="164" fontId="6" fillId="2" borderId="42" xfId="0" applyFont="true" applyBorder="true" applyAlignment="true" applyProtection="true">
      <alignment horizontal="center" vertical="center" textRotation="0" wrapText="false" indent="0" shrinkToFit="false"/>
      <protection locked="true" hidden="false"/>
    </xf>
    <xf numFmtId="164" fontId="6" fillId="2" borderId="43" xfId="0" applyFont="true" applyBorder="true" applyAlignment="true" applyProtection="true">
      <alignment horizontal="center" vertical="center" textRotation="0" wrapText="false" indent="0" shrinkToFit="false"/>
      <protection locked="true" hidden="false"/>
    </xf>
    <xf numFmtId="165" fontId="6" fillId="2" borderId="43" xfId="0" applyFont="true" applyBorder="true" applyAlignment="true" applyProtection="true">
      <alignment horizontal="general" vertical="center" textRotation="0" wrapText="false" indent="0" shrinkToFit="false"/>
      <protection locked="true" hidden="false"/>
    </xf>
    <xf numFmtId="164" fontId="6" fillId="0" borderId="43" xfId="0" applyFont="true" applyBorder="true" applyAlignment="true" applyProtection="true">
      <alignment horizontal="center" vertical="center" textRotation="0" wrapText="false" indent="0" shrinkToFit="false"/>
      <protection locked="false" hidden="false"/>
    </xf>
    <xf numFmtId="165" fontId="6" fillId="2" borderId="43" xfId="0" applyFont="true" applyBorder="true" applyAlignment="true" applyProtection="true">
      <alignment horizontal="center" vertical="center" textRotation="0" wrapText="false" indent="0" shrinkToFit="false"/>
      <protection locked="true" hidden="false"/>
    </xf>
    <xf numFmtId="164" fontId="6" fillId="2" borderId="44" xfId="0" applyFont="true" applyBorder="true" applyAlignment="true" applyProtection="true">
      <alignment horizontal="center" vertical="center" textRotation="0" wrapText="false" indent="0" shrinkToFit="false"/>
      <protection locked="true" hidden="false"/>
    </xf>
    <xf numFmtId="164" fontId="6" fillId="2" borderId="45" xfId="0" applyFont="true" applyBorder="true" applyAlignment="true" applyProtection="true">
      <alignment horizontal="center"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5" fontId="6" fillId="2" borderId="7" xfId="0" applyFont="true" applyBorder="true" applyAlignment="true" applyProtection="true">
      <alignment horizontal="general" vertical="center" textRotation="0" wrapText="false" indent="0" shrinkToFit="false"/>
      <protection locked="true" hidden="false"/>
    </xf>
    <xf numFmtId="165" fontId="6" fillId="2" borderId="46" xfId="0" applyFont="true" applyBorder="true" applyAlignment="true" applyProtection="true">
      <alignment horizontal="general" vertical="center" textRotation="0" wrapText="false" indent="0" shrinkToFit="false"/>
      <protection locked="true" hidden="false"/>
    </xf>
    <xf numFmtId="165" fontId="6" fillId="2" borderId="47" xfId="0" applyFont="true" applyBorder="true" applyAlignment="true" applyProtection="true">
      <alignment horizontal="general" vertical="center" textRotation="0" wrapText="false" indent="0" shrinkToFit="false"/>
      <protection locked="true" hidden="false"/>
    </xf>
    <xf numFmtId="167" fontId="6" fillId="2" borderId="48" xfId="0" applyFont="true" applyBorder="true" applyAlignment="true" applyProtection="true">
      <alignment horizontal="general" vertical="center" textRotation="0" wrapText="false" indent="0" shrinkToFit="false"/>
      <protection locked="true" hidden="false"/>
    </xf>
    <xf numFmtId="165" fontId="6" fillId="2" borderId="48" xfId="0" applyFont="true" applyBorder="true" applyAlignment="true" applyProtection="true">
      <alignment horizontal="general" vertical="center" textRotation="0" wrapText="false" indent="0" shrinkToFit="false"/>
      <protection locked="true" hidden="false"/>
    </xf>
    <xf numFmtId="165" fontId="6" fillId="2" borderId="0" xfId="0" applyFont="true" applyBorder="true" applyAlignment="true" applyProtection="true">
      <alignment horizontal="general" vertical="center" textRotation="0" wrapText="false" indent="0" shrinkToFit="false"/>
      <protection locked="true" hidden="false"/>
    </xf>
    <xf numFmtId="165" fontId="6" fillId="2" borderId="39" xfId="0" applyFont="true" applyBorder="true" applyAlignment="true" applyProtection="true">
      <alignment horizontal="general" vertical="center" textRotation="0" wrapText="false" indent="0" shrinkToFit="false"/>
      <protection locked="true" hidden="false"/>
    </xf>
    <xf numFmtId="167" fontId="6" fillId="2" borderId="16" xfId="0" applyFont="true" applyBorder="true" applyAlignment="true" applyProtection="true">
      <alignment horizontal="general" vertical="center" textRotation="0" wrapText="false" indent="0" shrinkToFit="false"/>
      <protection locked="true" hidden="false"/>
    </xf>
    <xf numFmtId="165" fontId="6" fillId="2" borderId="16" xfId="0" applyFont="true" applyBorder="true" applyAlignment="true" applyProtection="true">
      <alignment horizontal="general" vertical="center" textRotation="0" wrapText="false" indent="0" shrinkToFit="false"/>
      <protection locked="true" hidden="false"/>
    </xf>
    <xf numFmtId="164" fontId="6" fillId="2" borderId="49" xfId="0" applyFont="true" applyBorder="true" applyAlignment="true" applyProtection="true">
      <alignment horizontal="center" vertical="center" textRotation="0" wrapText="true" indent="0" shrinkToFit="false"/>
      <protection locked="true" hidden="false"/>
    </xf>
    <xf numFmtId="165" fontId="6" fillId="2" borderId="50" xfId="0" applyFont="true" applyBorder="true" applyAlignment="true" applyProtection="true">
      <alignment horizontal="general" vertical="center" textRotation="0" wrapText="false" indent="0" shrinkToFit="false"/>
      <protection locked="true" hidden="false"/>
    </xf>
    <xf numFmtId="165" fontId="6" fillId="2" borderId="51" xfId="0" applyFont="true" applyBorder="true" applyAlignment="true" applyProtection="true">
      <alignment horizontal="general" vertical="center" textRotation="0" wrapText="false" indent="0" shrinkToFit="false"/>
      <protection locked="true" hidden="false"/>
    </xf>
    <xf numFmtId="165" fontId="6" fillId="2" borderId="52" xfId="0" applyFont="true" applyBorder="true" applyAlignment="true" applyProtection="true">
      <alignment horizontal="general" vertical="center" textRotation="0" wrapText="false" indent="0" shrinkToFit="false"/>
      <protection locked="true" hidden="false"/>
    </xf>
    <xf numFmtId="165" fontId="6" fillId="2" borderId="53" xfId="0" applyFont="true" applyBorder="true" applyAlignment="true" applyProtection="true">
      <alignment horizontal="general" vertical="center" textRotation="0" wrapText="false" indent="0" shrinkToFit="false"/>
      <protection locked="true" hidden="false"/>
    </xf>
    <xf numFmtId="164" fontId="6" fillId="2" borderId="54" xfId="0" applyFont="true" applyBorder="true" applyAlignment="true" applyProtection="true">
      <alignment horizontal="center" vertical="center" textRotation="0" wrapText="false" indent="0" shrinkToFit="false"/>
      <protection locked="true" hidden="false"/>
    </xf>
    <xf numFmtId="165" fontId="6" fillId="2" borderId="21" xfId="0" applyFont="true" applyBorder="true" applyAlignment="true" applyProtection="true">
      <alignment horizontal="center" vertical="center" textRotation="0" wrapText="false" indent="0" shrinkToFit="false"/>
      <protection locked="true" hidden="false"/>
    </xf>
    <xf numFmtId="164" fontId="0" fillId="0" borderId="55" xfId="0" applyFont="false" applyBorder="true" applyAlignment="true" applyProtection="true">
      <alignment horizontal="general" vertical="center" textRotation="0" wrapText="false" indent="0" shrinkToFit="false"/>
      <protection locked="false" hidden="false"/>
    </xf>
    <xf numFmtId="165" fontId="6" fillId="2" borderId="55" xfId="0" applyFont="true" applyBorder="true" applyAlignment="true" applyProtection="true">
      <alignment horizontal="general" vertical="center" textRotation="0" wrapText="false" indent="0" shrinkToFit="false"/>
      <protection locked="true" hidden="false"/>
    </xf>
    <xf numFmtId="164" fontId="6" fillId="2" borderId="55" xfId="0" applyFont="true" applyBorder="true" applyAlignment="true" applyProtection="true">
      <alignment horizontal="general" vertical="center" textRotation="0" wrapText="false" indent="0" shrinkToFit="false"/>
      <protection locked="true" hidden="false"/>
    </xf>
    <xf numFmtId="164" fontId="0" fillId="2" borderId="56" xfId="0" applyFont="false" applyBorder="true" applyAlignment="true" applyProtection="true">
      <alignment horizontal="general" vertical="center" textRotation="0" wrapText="false" indent="0" shrinkToFit="false"/>
      <protection locked="true" hidden="false"/>
    </xf>
    <xf numFmtId="164" fontId="0" fillId="2" borderId="27" xfId="0" applyFont="true" applyBorder="true" applyAlignment="true" applyProtection="false">
      <alignment horizontal="center" vertical="center" textRotation="0" wrapText="true" indent="0" shrinkToFit="false"/>
      <protection locked="true" hidden="false"/>
    </xf>
    <xf numFmtId="165" fontId="0" fillId="2" borderId="57" xfId="0" applyFont="false" applyBorder="true" applyAlignment="true" applyProtection="false">
      <alignment horizontal="general" vertical="center" textRotation="0" wrapText="false" indent="0" shrinkToFit="false"/>
      <protection locked="true" hidden="false"/>
    </xf>
    <xf numFmtId="165" fontId="0" fillId="2" borderId="36" xfId="0" applyFont="false" applyBorder="true" applyAlignment="true" applyProtection="false">
      <alignment horizontal="general" vertical="center" textRotation="0" wrapText="false" indent="0" shrinkToFit="false"/>
      <protection locked="true" hidden="false"/>
    </xf>
    <xf numFmtId="165" fontId="0" fillId="2" borderId="37" xfId="0" applyFont="false" applyBorder="true" applyAlignment="true" applyProtection="false">
      <alignment horizontal="general" vertical="center" textRotation="0" wrapText="false" indent="0" shrinkToFit="false"/>
      <protection locked="true" hidden="false"/>
    </xf>
    <xf numFmtId="165" fontId="0" fillId="2" borderId="53" xfId="0" applyFont="false" applyBorder="true" applyAlignment="true" applyProtection="false">
      <alignment horizontal="general" vertical="center" textRotation="0" wrapText="false" indent="0" shrinkToFit="false"/>
      <protection locked="true" hidden="false"/>
    </xf>
    <xf numFmtId="165" fontId="0" fillId="2" borderId="0" xfId="0" applyFont="false" applyBorder="true" applyAlignment="true" applyProtection="false">
      <alignment horizontal="general" vertical="center" textRotation="0" wrapText="false" indent="0" shrinkToFit="false"/>
      <protection locked="true" hidden="false"/>
    </xf>
    <xf numFmtId="165" fontId="0" fillId="2" borderId="39" xfId="0" applyFont="false" applyBorder="true" applyAlignment="true" applyProtection="false">
      <alignment horizontal="general" vertical="center" textRotation="0" wrapText="false" indent="0" shrinkToFit="false"/>
      <protection locked="true" hidden="false"/>
    </xf>
    <xf numFmtId="165" fontId="0" fillId="2" borderId="58" xfId="0" applyFont="false" applyBorder="true" applyAlignment="true" applyProtection="false">
      <alignment horizontal="general" vertical="center" textRotation="0" wrapText="false" indent="0" shrinkToFit="false"/>
      <protection locked="true" hidden="false"/>
    </xf>
    <xf numFmtId="165" fontId="0" fillId="2" borderId="22" xfId="0" applyFont="false" applyBorder="true" applyAlignment="true" applyProtection="false">
      <alignment horizontal="general" vertical="center" textRotation="0" wrapText="false" indent="0" shrinkToFit="false"/>
      <protection locked="true" hidden="false"/>
    </xf>
    <xf numFmtId="165" fontId="0" fillId="2" borderId="41" xfId="0" applyFont="false" applyBorder="true" applyAlignment="true" applyProtection="false">
      <alignment horizontal="general" vertical="center" textRotation="0" wrapText="false" indent="0" shrinkToFit="false"/>
      <protection locked="true" hidden="false"/>
    </xf>
    <xf numFmtId="164" fontId="0" fillId="2" borderId="32" xfId="0" applyFont="true" applyBorder="true" applyAlignment="true" applyProtection="false">
      <alignment horizontal="general" vertical="center" textRotation="0" wrapText="false" indent="0" shrinkToFit="false"/>
      <protection locked="true" hidden="false"/>
    </xf>
    <xf numFmtId="164" fontId="0" fillId="2" borderId="33"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0" fillId="2" borderId="39" xfId="0" applyFont="false" applyBorder="true" applyAlignment="true" applyProtection="false">
      <alignment horizontal="general" vertical="center" textRotation="0" wrapText="false" indent="0" shrinkToFit="false"/>
      <protection locked="true" hidden="false"/>
    </xf>
    <xf numFmtId="164" fontId="0" fillId="2" borderId="34" xfId="0" applyFont="true" applyBorder="true" applyAlignment="true" applyProtection="false">
      <alignment horizontal="general" vertical="center" textRotation="0" wrapText="false" indent="0" shrinkToFit="false"/>
      <protection locked="true" hidden="false"/>
    </xf>
    <xf numFmtId="164" fontId="0" fillId="2" borderId="41" xfId="0" applyFont="false" applyBorder="true" applyAlignment="true" applyProtection="false">
      <alignment horizontal="general" vertical="center" textRotation="0" wrapText="false" indent="0" shrinkToFit="false"/>
      <protection locked="true" hidden="false"/>
    </xf>
    <xf numFmtId="164" fontId="0" fillId="2" borderId="35" xfId="0" applyFont="true" applyBorder="true" applyAlignment="true" applyProtection="false">
      <alignment horizontal="general" vertical="center" textRotation="0" wrapText="false" indent="0" shrinkToFit="false"/>
      <protection locked="true" hidden="false"/>
    </xf>
    <xf numFmtId="164" fontId="0" fillId="2" borderId="38" xfId="0" applyFont="true" applyBorder="true" applyAlignment="true" applyProtection="false">
      <alignment horizontal="general" vertical="center" textRotation="0" wrapText="false" indent="0" shrinkToFit="false"/>
      <protection locked="true" hidden="false"/>
    </xf>
    <xf numFmtId="164" fontId="0" fillId="2" borderId="40" xfId="0" applyFont="true" applyBorder="true" applyAlignment="true" applyProtection="false">
      <alignment horizontal="general" vertical="center" textRotation="0" wrapText="false" indent="0" shrinkToFit="false"/>
      <protection locked="true" hidden="false"/>
    </xf>
    <xf numFmtId="164" fontId="0" fillId="2" borderId="22" xfId="0" applyFont="false" applyBorder="tru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0">
    <dxf>
      <font>
        <name val="Arial"/>
        <family val="0"/>
        <color rgb="FFFFFFFF"/>
      </font>
      <fill>
        <patternFill>
          <bgColor rgb="FFFFFFFF"/>
        </patternFill>
      </fill>
    </dxf>
    <dxf>
      <font>
        <name val="Arial"/>
        <family val="0"/>
        <color rgb="FFFFFFFF"/>
      </font>
      <fill>
        <patternFill>
          <bgColor rgb="FFFFFFFF"/>
        </patternFill>
      </fill>
    </dxf>
    <dxf>
      <font>
        <name val="Arial"/>
        <family val="0"/>
        <color rgb="FFFFFFFF"/>
      </font>
      <fill>
        <patternFill>
          <bgColor rgb="FFFFFFFF"/>
        </patternFill>
      </fill>
    </dxf>
    <dxf>
      <font>
        <name val="Arial"/>
        <family val="0"/>
        <color rgb="FFFFFFFF"/>
      </font>
      <fill>
        <patternFill>
          <bgColor rgb="FFFFFFFF"/>
        </patternFill>
      </fill>
    </dxf>
    <dxf>
      <font>
        <name val="Arial"/>
        <family val="0"/>
        <color rgb="FFFFFFFF"/>
      </font>
      <fill>
        <patternFill>
          <bgColor rgb="FFFFFFFF"/>
        </patternFill>
      </fill>
    </dxf>
    <dxf>
      <font>
        <name val="Arial"/>
        <family val="0"/>
        <color rgb="FFFFFFFF"/>
      </font>
      <fill>
        <patternFill>
          <bgColor rgb="FFFFFFFF"/>
        </patternFill>
      </fill>
    </dxf>
    <dxf>
      <font>
        <name val="Arial"/>
        <family val="0"/>
        <color rgb="FFFFFFFF"/>
      </font>
      <fill>
        <patternFill>
          <bgColor rgb="FFFFFFFF"/>
        </patternFill>
      </fill>
    </dxf>
    <dxf>
      <font>
        <name val="Arial"/>
        <family val="0"/>
        <color rgb="FFFFFFFF"/>
      </font>
      <fill>
        <patternFill>
          <bgColor rgb="FFFFFFFF"/>
        </patternFill>
      </fill>
    </dxf>
    <dxf>
      <font>
        <name val="Arial"/>
        <family val="0"/>
        <color rgb="FFFFFFFF"/>
      </font>
      <fill>
        <patternFill>
          <bgColor rgb="FFFFFFFF"/>
        </patternFill>
      </fill>
    </dxf>
    <dxf>
      <font>
        <name val="Arial"/>
        <family val="0"/>
        <color rgb="FFFFFFFF"/>
      </font>
      <fill>
        <patternFill>
          <bgColor rgb="FFFFFFFF"/>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Leistungs- und Drehmomentverlauf</a:t>
            </a:r>
          </a:p>
        </c:rich>
      </c:tx>
      <c:layout>
        <c:manualLayout>
          <c:xMode val="edge"/>
          <c:yMode val="edge"/>
          <c:x val="0.239444840780855"/>
          <c:y val="0.0283288573161223"/>
        </c:manualLayout>
      </c:layout>
      <c:overlay val="0"/>
      <c:spPr>
        <a:noFill/>
        <a:ln w="0">
          <a:noFill/>
        </a:ln>
      </c:spPr>
    </c:title>
    <c:autoTitleDeleted val="0"/>
    <c:plotArea>
      <c:layout>
        <c:manualLayout>
          <c:xMode val="edge"/>
          <c:yMode val="edge"/>
          <c:x val="0.00687463519034957"/>
          <c:y val="0.0874989170926102"/>
          <c:w val="0.99312536480965"/>
          <c:h val="0.870570908775882"/>
        </c:manualLayout>
      </c:layout>
      <c:scatterChart>
        <c:scatterStyle val="line"/>
        <c:varyColors val="0"/>
        <c:ser>
          <c:idx val="0"/>
          <c:order val="0"/>
          <c:tx>
            <c:strRef>
              <c:f>"Drehmoment"</c:f>
              <c:strCache>
                <c:ptCount val="1"/>
                <c:pt idx="0">
                  <c:v>Drehmoment</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'Leistung u. Drehmoment'!$C$1:$M$1</c:f>
              <c:numCache>
                <c:formatCode>0</c:formatCode>
                <c:ptCount val="11"/>
                <c:pt idx="0">
                  <c:v>1000</c:v>
                </c:pt>
                <c:pt idx="1">
                  <c:v>2000</c:v>
                </c:pt>
                <c:pt idx="2">
                  <c:v>3000</c:v>
                </c:pt>
                <c:pt idx="3">
                  <c:v>4000</c:v>
                </c:pt>
                <c:pt idx="4">
                  <c:v>4900</c:v>
                </c:pt>
                <c:pt idx="5">
                  <c:v>6000</c:v>
                </c:pt>
                <c:pt idx="6">
                  <c:v>7000</c:v>
                </c:pt>
                <c:pt idx="7">
                  <c:v>7900</c:v>
                </c:pt>
                <c:pt idx="8">
                  <c:v>8000</c:v>
                </c:pt>
              </c:numCache>
            </c:numRef>
          </c:xVal>
          <c:yVal>
            <c:numRef>
              <c:f>'Leistung u. Drehmoment'!$C$4:$M$4</c:f>
              <c:numCache>
                <c:formatCode>0.0</c:formatCode>
                <c:ptCount val="11"/>
                <c:pt idx="0">
                  <c:v>248.3</c:v>
                </c:pt>
                <c:pt idx="1">
                  <c:v>290</c:v>
                </c:pt>
                <c:pt idx="2">
                  <c:v>325</c:v>
                </c:pt>
                <c:pt idx="3">
                  <c:v>355</c:v>
                </c:pt>
                <c:pt idx="4">
                  <c:v>370</c:v>
                </c:pt>
                <c:pt idx="5">
                  <c:v>360</c:v>
                </c:pt>
                <c:pt idx="6">
                  <c:v>345</c:v>
                </c:pt>
                <c:pt idx="7">
                  <c:v>320.348101265823</c:v>
                </c:pt>
                <c:pt idx="8">
                  <c:v>315.15</c:v>
                </c:pt>
                <c:pt idx="9">
                  <c:v>315.15</c:v>
                </c:pt>
                <c:pt idx="10">
                  <c:v>315.15</c:v>
                </c:pt>
              </c:numCache>
            </c:numRef>
          </c:yVal>
          <c:smooth val="1"/>
        </c:ser>
        <c:axId val="72087385"/>
        <c:axId val="94953709"/>
      </c:scatterChart>
      <c:scatterChart>
        <c:scatterStyle val="line"/>
        <c:varyColors val="0"/>
        <c:ser>
          <c:idx val="1"/>
          <c:order val="1"/>
          <c:tx>
            <c:strRef>
              <c:f>"Leistung"</c:f>
              <c:strCache>
                <c:ptCount val="1"/>
                <c:pt idx="0">
                  <c:v>Leistung</c:v>
                </c:pt>
              </c:strCache>
            </c:strRef>
          </c:tx>
          <c:spPr>
            <a:solidFill>
              <a:srgbClr val="ff0000"/>
            </a:solidFill>
            <a:ln w="378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37800">
                  <a:solidFill>
                    <a:srgbClr val="000000"/>
                  </a:solidFill>
                </a:ln>
              </c:spPr>
            </c:leaderLines>
            <c:extLst>
              <c:ext xmlns:c15="http://schemas.microsoft.com/office/drawing/2012/chart" uri="{CE6537A1-D6FC-4f65-9D91-7224C49458BB}">
                <c15:showLeaderLines val="1"/>
              </c:ext>
            </c:extLst>
          </c:dLbls>
          <c:xVal>
            <c:numRef>
              <c:f>'Leistung u. Drehmoment'!$C$1:$M$1</c:f>
              <c:numCache>
                <c:formatCode>0</c:formatCode>
                <c:ptCount val="11"/>
                <c:pt idx="0">
                  <c:v>1000</c:v>
                </c:pt>
                <c:pt idx="1">
                  <c:v>2000</c:v>
                </c:pt>
                <c:pt idx="2">
                  <c:v>3000</c:v>
                </c:pt>
                <c:pt idx="3">
                  <c:v>4000</c:v>
                </c:pt>
                <c:pt idx="4">
                  <c:v>4900</c:v>
                </c:pt>
                <c:pt idx="5">
                  <c:v>6000</c:v>
                </c:pt>
                <c:pt idx="6">
                  <c:v>7000</c:v>
                </c:pt>
                <c:pt idx="7">
                  <c:v>7900</c:v>
                </c:pt>
                <c:pt idx="8">
                  <c:v>8000</c:v>
                </c:pt>
              </c:numCache>
            </c:numRef>
          </c:xVal>
          <c:yVal>
            <c:numRef>
              <c:f>'Leistung u. Drehmoment'!$C$5:$M$5</c:f>
              <c:numCache>
                <c:formatCode>0.0</c:formatCode>
                <c:ptCount val="11"/>
                <c:pt idx="0">
                  <c:v>26</c:v>
                </c:pt>
                <c:pt idx="1">
                  <c:v>60.7329842931937</c:v>
                </c:pt>
                <c:pt idx="2">
                  <c:v>102.094240837696</c:v>
                </c:pt>
                <c:pt idx="3">
                  <c:v>148.69109947644</c:v>
                </c:pt>
                <c:pt idx="4">
                  <c:v>189.842931937173</c:v>
                </c:pt>
                <c:pt idx="5">
                  <c:v>226.178010471204</c:v>
                </c:pt>
                <c:pt idx="6">
                  <c:v>252.879581151832</c:v>
                </c:pt>
                <c:pt idx="7">
                  <c:v>265</c:v>
                </c:pt>
                <c:pt idx="8">
                  <c:v>264</c:v>
                </c:pt>
                <c:pt idx="9">
                  <c:v>264</c:v>
                </c:pt>
                <c:pt idx="10">
                  <c:v>264</c:v>
                </c:pt>
              </c:numCache>
            </c:numRef>
          </c:yVal>
          <c:smooth val="1"/>
        </c:ser>
        <c:axId val="39272237"/>
        <c:axId val="45194090"/>
      </c:scatterChart>
      <c:valAx>
        <c:axId val="72087385"/>
        <c:scaling>
          <c:orientation val="minMax"/>
          <c:max val="9000"/>
          <c:min val="0"/>
        </c:scaling>
        <c:delete val="0"/>
        <c:axPos val="b"/>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100" strike="noStrike" u="none">
                    <a:uFillTx/>
                    <a:latin typeface="Arial"/>
                  </a:rPr>
                  <a:t>n/min</a:t>
                </a:r>
                <a:r>
                  <a:rPr b="1" sz="1100" strike="noStrike" u="none" baseline="33000">
                    <a:uFillTx/>
                    <a:latin typeface="Arial"/>
                  </a:rPr>
                  <a:t>-1</a:t>
                </a:r>
              </a:p>
            </c:rich>
          </c:tx>
          <c:layout>
            <c:manualLayout>
              <c:xMode val="edge"/>
              <c:yMode val="edge"/>
              <c:x val="0.887865620338543"/>
              <c:y val="0.916919345057611"/>
            </c:manualLayout>
          </c:layout>
          <c:overlay val="0"/>
          <c:spPr>
            <a:noFill/>
            <a:ln w="0">
              <a:noFill/>
            </a:ln>
          </c:spPr>
        </c:title>
        <c:numFmt formatCode="0" sourceLinked="1"/>
        <c:majorTickMark val="out"/>
        <c:minorTickMark val="none"/>
        <c:tickLblPos val="nextTo"/>
        <c:spPr>
          <a:ln w="25200">
            <a:solidFill>
              <a:srgbClr val="000000"/>
            </a:solidFill>
            <a:round/>
          </a:ln>
        </c:spPr>
        <c:txPr>
          <a:bodyPr/>
          <a:lstStyle/>
          <a:p>
            <a:pPr>
              <a:defRPr b="0" sz="1100" strike="noStrike" u="none">
                <a:solidFill>
                  <a:srgbClr val="000000"/>
                </a:solidFill>
                <a:uFillTx/>
                <a:latin typeface="Arial"/>
              </a:defRPr>
            </a:pPr>
          </a:p>
        </c:txPr>
        <c:crossAx val="94953709"/>
        <c:crossesAt val="0"/>
        <c:crossBetween val="midCat"/>
        <c:majorUnit val="1000"/>
      </c:valAx>
      <c:valAx>
        <c:axId val="94953709"/>
        <c:scaling>
          <c:orientation val="minMax"/>
          <c:max val="600"/>
          <c:min val="0"/>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100" strike="noStrike" u="none">
                    <a:solidFill>
                      <a:srgbClr val="0000ff"/>
                    </a:solidFill>
                    <a:uFillTx/>
                    <a:latin typeface="Arial"/>
                  </a:rPr>
                  <a:t>M</a:t>
                </a:r>
                <a:r>
                  <a:rPr b="0" sz="1100" strike="noStrike" u="none">
                    <a:solidFill>
                      <a:srgbClr val="0000ff"/>
                    </a:solidFill>
                    <a:uFillTx/>
                    <a:latin typeface="Arial"/>
                  </a:rPr>
                  <a:t>/Nm</a:t>
                </a:r>
              </a:p>
            </c:rich>
          </c:tx>
          <c:layout>
            <c:manualLayout>
              <c:xMode val="edge"/>
              <c:yMode val="edge"/>
              <c:x val="0.909527206693041"/>
              <c:y val="0.0283288573161223"/>
            </c:manualLayout>
          </c:layout>
          <c:overlay val="0"/>
          <c:spPr>
            <a:noFill/>
            <a:ln w="0">
              <a:noFill/>
            </a:ln>
          </c:spPr>
        </c:title>
        <c:numFmt formatCode="0" sourceLinked="0"/>
        <c:majorTickMark val="out"/>
        <c:minorTickMark val="none"/>
        <c:tickLblPos val="nextTo"/>
        <c:spPr>
          <a:ln w="25200">
            <a:solidFill>
              <a:srgbClr val="000000"/>
            </a:solidFill>
            <a:round/>
          </a:ln>
        </c:spPr>
        <c:txPr>
          <a:bodyPr/>
          <a:lstStyle/>
          <a:p>
            <a:pPr>
              <a:defRPr b="0" sz="1100" strike="noStrike" u="none">
                <a:solidFill>
                  <a:srgbClr val="0000ff"/>
                </a:solidFill>
                <a:uFillTx/>
                <a:latin typeface="Arial"/>
              </a:defRPr>
            </a:pPr>
          </a:p>
        </c:txPr>
        <c:crossAx val="72087385"/>
        <c:crosses val="max"/>
        <c:crossBetween val="midCat"/>
        <c:majorUnit val="100"/>
        <c:minorUnit val="50"/>
      </c:valAx>
      <c:valAx>
        <c:axId val="39272237"/>
        <c:scaling>
          <c:orientation val="minMax"/>
        </c:scaling>
        <c:delete val="1"/>
        <c:axPos val="t"/>
        <c:numFmt formatCode="0" sourceLinked="1"/>
        <c:majorTickMark val="cross"/>
        <c:minorTickMark val="none"/>
        <c:tickLblPos val="nextTo"/>
        <c:spPr>
          <a:ln w="0">
            <a:noFill/>
          </a:ln>
        </c:spPr>
        <c:txPr>
          <a:bodyPr/>
          <a:lstStyle/>
          <a:p>
            <a:pPr>
              <a:defRPr b="0" sz="1475" strike="noStrike" u="none">
                <a:solidFill>
                  <a:srgbClr val="000000"/>
                </a:solidFill>
                <a:uFillTx/>
                <a:latin typeface="Arial"/>
              </a:defRPr>
            </a:pPr>
          </a:p>
        </c:txPr>
        <c:crossAx val="45194090"/>
        <c:crossBetween val="midCat"/>
      </c:valAx>
      <c:valAx>
        <c:axId val="45194090"/>
        <c:scaling>
          <c:orientation val="minMax"/>
          <c:max val="300"/>
        </c:scaling>
        <c:delete val="0"/>
        <c:axPos val="r"/>
        <c:title>
          <c:tx>
            <c:rich>
              <a:bodyPr rot="0"/>
              <a:lstStyle/>
              <a:p>
                <a:pPr>
                  <a:defRPr b="0" sz="1300" strike="noStrike" u="none">
                    <a:uFillTx/>
                    <a:latin typeface="Arial"/>
                  </a:defRPr>
                </a:pPr>
                <a:r>
                  <a:rPr b="1" sz="1100" strike="noStrike" u="none">
                    <a:solidFill>
                      <a:srgbClr val="ff0000"/>
                    </a:solidFill>
                    <a:uFillTx/>
                    <a:latin typeface="Arial"/>
                  </a:rPr>
                  <a:t>P</a:t>
                </a:r>
                <a:r>
                  <a:rPr b="0" sz="1100" strike="noStrike" u="none">
                    <a:solidFill>
                      <a:srgbClr val="ff0000"/>
                    </a:solidFill>
                    <a:uFillTx/>
                    <a:latin typeface="Arial"/>
                  </a:rPr>
                  <a:t>/kW</a:t>
                </a:r>
              </a:p>
            </c:rich>
          </c:tx>
          <c:layout>
            <c:manualLayout>
              <c:xMode val="edge"/>
              <c:yMode val="edge"/>
              <c:x val="0.0086905765613853"/>
              <c:y val="0.0304946720956424"/>
            </c:manualLayout>
          </c:layout>
          <c:overlay val="0"/>
          <c:spPr>
            <a:noFill/>
            <a:ln w="0">
              <a:noFill/>
            </a:ln>
          </c:spPr>
        </c:title>
        <c:numFmt formatCode="0" sourceLinked="0"/>
        <c:majorTickMark val="out"/>
        <c:minorTickMark val="none"/>
        <c:tickLblPos val="nextTo"/>
        <c:spPr>
          <a:ln w="25200">
            <a:solidFill>
              <a:srgbClr val="000000"/>
            </a:solidFill>
            <a:round/>
          </a:ln>
        </c:spPr>
        <c:txPr>
          <a:bodyPr/>
          <a:lstStyle/>
          <a:p>
            <a:pPr>
              <a:defRPr b="0" sz="1100" strike="noStrike" u="none">
                <a:solidFill>
                  <a:srgbClr val="ff0000"/>
                </a:solidFill>
                <a:uFillTx/>
                <a:latin typeface="Arial"/>
              </a:defRPr>
            </a:pPr>
          </a:p>
        </c:txPr>
        <c:crossAx val="39272237"/>
        <c:crossesAt val="0"/>
        <c:crossBetween val="midCat"/>
        <c:majorUnit val="50"/>
      </c:valAx>
      <c:spPr>
        <a:solidFill>
          <a:srgbClr val="ffffff"/>
        </a:solidFill>
        <a:ln w="12600">
          <a:solidFill>
            <a:srgbClr val="000000"/>
          </a:solidFill>
          <a:round/>
        </a:ln>
      </c:spPr>
    </c:plotArea>
    <c:plotVisOnly val="1"/>
    <c:dispBlanksAs val="gap"/>
  </c:chart>
  <c:spPr>
    <a:solidFill>
      <a:srgbClr val="ffffff"/>
    </a:solidFill>
    <a:ln w="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Getriebeschaubild</a:t>
            </a:r>
          </a:p>
        </c:rich>
      </c:tx>
      <c:layout>
        <c:manualLayout>
          <c:xMode val="edge"/>
          <c:yMode val="edge"/>
          <c:x val="0.390904522613065"/>
          <c:y val="0.00962936046511628"/>
        </c:manualLayout>
      </c:layout>
      <c:overlay val="0"/>
      <c:spPr>
        <a:noFill/>
        <a:ln w="0">
          <a:noFill/>
        </a:ln>
      </c:spPr>
    </c:title>
    <c:autoTitleDeleted val="0"/>
    <c:plotArea>
      <c:layout>
        <c:manualLayout>
          <c:xMode val="edge"/>
          <c:yMode val="edge"/>
          <c:x val="0.0228654706266646"/>
          <c:y val="0.0849459434905061"/>
          <c:w val="0.94075079149706"/>
          <c:h val="0.854547106386845"/>
        </c:manualLayout>
      </c:layout>
      <c:scatterChart>
        <c:scatterStyle val="line"/>
        <c:varyColors val="0"/>
        <c:ser>
          <c:idx val="0"/>
          <c:order val="0"/>
          <c:tx>
            <c:strRef>
              <c:f>"1. Gang"</c:f>
              <c:strCache>
                <c:ptCount val="1"/>
                <c:pt idx="0">
                  <c:v>1.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Zugkraftdiagramm'!$L$99:$M$99</c:f>
              <c:numCache>
                <c:formatCode>General</c:formatCode>
                <c:ptCount val="2"/>
                <c:pt idx="0">
                  <c:v>7.99375243126995</c:v>
                </c:pt>
                <c:pt idx="1">
                  <c:v>63.9500194501596</c:v>
                </c:pt>
              </c:numCache>
            </c:numRef>
          </c:xVal>
          <c:yVal>
            <c:numRef>
              <c:f>'Getriebe- u. Zugkraftdiagramm'!$J$99:$K$99</c:f>
              <c:numCache>
                <c:formatCode>General</c:formatCode>
                <c:ptCount val="2"/>
                <c:pt idx="0">
                  <c:v>1000</c:v>
                </c:pt>
                <c:pt idx="1">
                  <c:v>8000</c:v>
                </c:pt>
              </c:numCache>
            </c:numRef>
          </c:yVal>
          <c:smooth val="1"/>
        </c:ser>
        <c:ser>
          <c:idx val="1"/>
          <c:order val="1"/>
          <c:tx>
            <c:strRef>
              <c:f>"2. Gang"</c:f>
              <c:strCache>
                <c:ptCount val="1"/>
                <c:pt idx="0">
                  <c:v>2.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Zugkraftdiagramm'!$L$100:$M$100</c:f>
              <c:numCache>
                <c:formatCode>General</c:formatCode>
                <c:ptCount val="2"/>
                <c:pt idx="0">
                  <c:v>13.3661358888363</c:v>
                </c:pt>
                <c:pt idx="1">
                  <c:v>106.92908711069</c:v>
                </c:pt>
              </c:numCache>
            </c:numRef>
          </c:xVal>
          <c:yVal>
            <c:numRef>
              <c:f>'Getriebe- u. Zugkraftdiagramm'!$J$100:$K$100</c:f>
              <c:numCache>
                <c:formatCode>General</c:formatCode>
                <c:ptCount val="2"/>
                <c:pt idx="0">
                  <c:v>1000</c:v>
                </c:pt>
                <c:pt idx="1">
                  <c:v>8000</c:v>
                </c:pt>
              </c:numCache>
            </c:numRef>
          </c:yVal>
          <c:smooth val="1"/>
        </c:ser>
        <c:ser>
          <c:idx val="2"/>
          <c:order val="2"/>
          <c:tx>
            <c:strRef>
              <c:f>"3. Gang"</c:f>
              <c:strCache>
                <c:ptCount val="1"/>
                <c:pt idx="0">
                  <c:v>3.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Zugkraftdiagramm'!$L$101:$M$101</c:f>
              <c:numCache>
                <c:formatCode>General</c:formatCode>
                <c:ptCount val="2"/>
                <c:pt idx="0">
                  <c:v>20.2454113403104</c:v>
                </c:pt>
                <c:pt idx="1">
                  <c:v>161.963290722483</c:v>
                </c:pt>
              </c:numCache>
            </c:numRef>
          </c:xVal>
          <c:yVal>
            <c:numRef>
              <c:f>'Getriebe- u. Zugkraftdiagramm'!$J$101:$K$101</c:f>
              <c:numCache>
                <c:formatCode>General</c:formatCode>
                <c:ptCount val="2"/>
                <c:pt idx="0">
                  <c:v>1000</c:v>
                </c:pt>
                <c:pt idx="1">
                  <c:v>8000</c:v>
                </c:pt>
              </c:numCache>
            </c:numRef>
          </c:yVal>
          <c:smooth val="1"/>
        </c:ser>
        <c:ser>
          <c:idx val="3"/>
          <c:order val="3"/>
          <c:tx>
            <c:strRef>
              <c:f>"4. Gang"</c:f>
              <c:strCache>
                <c:ptCount val="1"/>
                <c:pt idx="0">
                  <c:v>4.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Zugkraftdiagramm'!$L$102:$M$102</c:f>
              <c:numCache>
                <c:formatCode>General</c:formatCode>
                <c:ptCount val="2"/>
                <c:pt idx="0">
                  <c:v>27.5608413760017</c:v>
                </c:pt>
                <c:pt idx="1">
                  <c:v>220.486731008014</c:v>
                </c:pt>
              </c:numCache>
            </c:numRef>
          </c:xVal>
          <c:yVal>
            <c:numRef>
              <c:f>'Getriebe- u. Zugkraftdiagramm'!$J$102:$K$102</c:f>
              <c:numCache>
                <c:formatCode>General</c:formatCode>
                <c:ptCount val="2"/>
                <c:pt idx="0">
                  <c:v>1000</c:v>
                </c:pt>
                <c:pt idx="1">
                  <c:v>8000</c:v>
                </c:pt>
              </c:numCache>
            </c:numRef>
          </c:yVal>
          <c:smooth val="1"/>
        </c:ser>
        <c:ser>
          <c:idx val="4"/>
          <c:order val="4"/>
          <c:tx>
            <c:strRef>
              <c:f>"6. Gang"</c:f>
              <c:strCache>
                <c:ptCount val="1"/>
                <c:pt idx="0">
                  <c:v>6.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Zugkraftdiagramm'!$L$104:$M$104</c:f>
              <c:numCache>
                <c:formatCode>General</c:formatCode>
                <c:ptCount val="2"/>
                <c:pt idx="0">
                  <c:v>40.8086854190557</c:v>
                </c:pt>
                <c:pt idx="1">
                  <c:v>326.469483352445</c:v>
                </c:pt>
              </c:numCache>
            </c:numRef>
          </c:xVal>
          <c:yVal>
            <c:numRef>
              <c:f>'Getriebe- u. Zugkraftdiagramm'!$J$104:$K$104</c:f>
              <c:numCache>
                <c:formatCode>General</c:formatCode>
                <c:ptCount val="2"/>
                <c:pt idx="0">
                  <c:v>1000</c:v>
                </c:pt>
                <c:pt idx="1">
                  <c:v>8000</c:v>
                </c:pt>
              </c:numCache>
            </c:numRef>
          </c:yVal>
          <c:smooth val="1"/>
        </c:ser>
        <c:ser>
          <c:idx val="5"/>
          <c:order val="5"/>
          <c:tx>
            <c:strRef>
              <c:f>"7. Gang"</c:f>
              <c:strCache>
                <c:ptCount val="1"/>
                <c:pt idx="0">
                  <c:v>7.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Zugkraftdiagramm'!$L$105:$M$105</c:f>
              <c:numCache>
                <c:formatCode>General</c:formatCode>
                <c:ptCount val="2"/>
              </c:numCache>
            </c:numRef>
          </c:xVal>
          <c:yVal>
            <c:numRef>
              <c:f>'Getriebe- u. Zugkraftdiagramm'!$J$105:$K$105</c:f>
              <c:numCache>
                <c:formatCode>General</c:formatCode>
                <c:ptCount val="2"/>
              </c:numCache>
            </c:numRef>
          </c:yVal>
          <c:smooth val="1"/>
        </c:ser>
        <c:ser>
          <c:idx val="6"/>
          <c:order val="6"/>
          <c:tx>
            <c:strRef>
              <c:f>"Opt Schalt 1."</c:f>
              <c:strCache>
                <c:ptCount val="1"/>
                <c:pt idx="0">
                  <c:v>Opt Schalt 1.</c:v>
                </c:pt>
              </c:strCache>
            </c:strRef>
          </c:tx>
          <c:spPr>
            <a:solidFill>
              <a:srgbClr val="00ff00"/>
            </a:solidFill>
            <a:ln w="126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Zugkraftdiagramm'!$H$100,'Getriebe- u. Zugkraftdiagramm'!$I$99</c:f>
              <c:numCache>
                <c:formatCode>0</c:formatCode>
                <c:ptCount val="2"/>
                <c:pt idx="0">
                  <c:v>63.9500194501596</c:v>
                </c:pt>
                <c:pt idx="1">
                  <c:v>63.9500194501596</c:v>
                </c:pt>
              </c:numCache>
            </c:numRef>
          </c:xVal>
          <c:yVal>
            <c:numRef>
              <c:f>'Getriebe- u. Zugkraftdiagramm'!$G$99,'Getriebe- u. Zugkraftdiagramm'!$F$100</c:f>
              <c:numCache>
                <c:formatCode>0</c:formatCode>
                <c:ptCount val="2"/>
                <c:pt idx="0">
                  <c:v>8000</c:v>
                </c:pt>
                <c:pt idx="1">
                  <c:v>4784.48071918618</c:v>
                </c:pt>
              </c:numCache>
            </c:numRef>
          </c:yVal>
          <c:smooth val="1"/>
        </c:ser>
        <c:ser>
          <c:idx val="7"/>
          <c:order val="7"/>
          <c:tx>
            <c:strRef>
              <c:f>"Opt Schalt 2."</c:f>
              <c:strCache>
                <c:ptCount val="1"/>
                <c:pt idx="0">
                  <c:v>Opt Schalt 2.</c:v>
                </c:pt>
              </c:strCache>
            </c:strRef>
          </c:tx>
          <c:spPr>
            <a:solidFill>
              <a:srgbClr val="00ff00"/>
            </a:solidFill>
            <a:ln w="126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Zugkraftdiagramm'!$H$101,'Getriebe- u. Zugkraftdiagramm'!$I$100</c:f>
              <c:numCache>
                <c:formatCode>0</c:formatCode>
                <c:ptCount val="2"/>
                <c:pt idx="0">
                  <c:v>106.92908711069</c:v>
                </c:pt>
                <c:pt idx="1">
                  <c:v>106.92908711069</c:v>
                </c:pt>
              </c:numCache>
            </c:numRef>
          </c:xVal>
          <c:yVal>
            <c:numRef>
              <c:f>'Getriebe- u. Zugkraftdiagramm'!$F$101,'Getriebe- u. Zugkraftdiagramm'!$G$100</c:f>
              <c:numCache>
                <c:formatCode>0</c:formatCode>
                <c:ptCount val="2"/>
                <c:pt idx="0">
                  <c:v>5281.64556962025</c:v>
                </c:pt>
                <c:pt idx="1">
                  <c:v>8000</c:v>
                </c:pt>
              </c:numCache>
            </c:numRef>
          </c:yVal>
          <c:smooth val="1"/>
        </c:ser>
        <c:ser>
          <c:idx val="8"/>
          <c:order val="8"/>
          <c:tx>
            <c:strRef>
              <c:f>"Opt Schalt 3."</c:f>
              <c:strCache>
                <c:ptCount val="1"/>
                <c:pt idx="0">
                  <c:v>Opt Schalt 3.</c:v>
                </c:pt>
              </c:strCache>
            </c:strRef>
          </c:tx>
          <c:spPr>
            <a:solidFill>
              <a:srgbClr val="00ff00"/>
            </a:solidFill>
            <a:ln w="126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Zugkraftdiagramm'!$H$102,'Getriebe- u. Zugkraftdiagramm'!$I$101</c:f>
              <c:numCache>
                <c:formatCode>0</c:formatCode>
                <c:ptCount val="2"/>
                <c:pt idx="0">
                  <c:v>161.963290722483</c:v>
                </c:pt>
                <c:pt idx="1">
                  <c:v>161.963290722483</c:v>
                </c:pt>
              </c:numCache>
            </c:numRef>
          </c:xVal>
          <c:yVal>
            <c:numRef>
              <c:f>'Getriebe- u. Zugkraftdiagramm'!$F$102,'Getriebe- u. Zugkraftdiagramm'!$G$101</c:f>
              <c:numCache>
                <c:formatCode>0</c:formatCode>
                <c:ptCount val="2"/>
                <c:pt idx="0">
                  <c:v>5876.57279808268</c:v>
                </c:pt>
                <c:pt idx="1">
                  <c:v>8000</c:v>
                </c:pt>
              </c:numCache>
            </c:numRef>
          </c:yVal>
          <c:smooth val="1"/>
        </c:ser>
        <c:ser>
          <c:idx val="9"/>
          <c:order val="9"/>
          <c:tx>
            <c:strRef>
              <c:f>"Opt Schalt 4."</c:f>
              <c:strCache>
                <c:ptCount val="1"/>
                <c:pt idx="0">
                  <c:v>Opt Schalt 4.</c:v>
                </c:pt>
              </c:strCache>
            </c:strRef>
          </c:tx>
          <c:spPr>
            <a:solidFill>
              <a:srgbClr val="00ff00"/>
            </a:solidFill>
            <a:ln w="126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Zugkraftdiagramm'!$H$103,'Getriebe- u. Zugkraftdiagramm'!$I$102</c:f>
              <c:numCache>
                <c:formatCode>0</c:formatCode>
                <c:ptCount val="2"/>
                <c:pt idx="0">
                  <c:v>220.486731008014</c:v>
                </c:pt>
                <c:pt idx="1">
                  <c:v>220.486731008014</c:v>
                </c:pt>
              </c:numCache>
            </c:numRef>
          </c:xVal>
          <c:yVal>
            <c:numRef>
              <c:f>'Getriebe- u. Zugkraftdiagramm'!$F$103,'Getriebe- u. Zugkraftdiagramm'!$G$102</c:f>
              <c:numCache>
                <c:formatCode>0</c:formatCode>
                <c:ptCount val="2"/>
                <c:pt idx="0">
                  <c:v>6525.2854812398</c:v>
                </c:pt>
                <c:pt idx="1">
                  <c:v>8000</c:v>
                </c:pt>
              </c:numCache>
            </c:numRef>
          </c:yVal>
          <c:smooth val="1"/>
        </c:ser>
        <c:ser>
          <c:idx val="10"/>
          <c:order val="10"/>
          <c:tx>
            <c:strRef>
              <c:f>"Opt Schalt 5."</c:f>
              <c:strCache>
                <c:ptCount val="1"/>
                <c:pt idx="0">
                  <c:v>Opt Schalt 5.</c:v>
                </c:pt>
              </c:strCache>
            </c:strRef>
          </c:tx>
          <c:spPr>
            <a:solidFill>
              <a:srgbClr val="00ff00"/>
            </a:solidFill>
            <a:ln w="126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Zugkraftdiagramm'!$H$104,'Getriebe- u. Zugkraftdiagramm'!$I$103</c:f>
              <c:numCache>
                <c:formatCode>0</c:formatCode>
                <c:ptCount val="2"/>
                <c:pt idx="0">
                  <c:v>270.316732215825</c:v>
                </c:pt>
                <c:pt idx="1">
                  <c:v>270.316732215825</c:v>
                </c:pt>
              </c:numCache>
            </c:numRef>
          </c:xVal>
          <c:yVal>
            <c:numRef>
              <c:f>'Getriebe- u. Zugkraftdiagramm'!$F$104,'Getriebe- u. Zugkraftdiagramm'!$G$103</c:f>
              <c:numCache>
                <c:formatCode>0</c:formatCode>
                <c:ptCount val="2"/>
                <c:pt idx="0">
                  <c:v>6624</c:v>
                </c:pt>
                <c:pt idx="1">
                  <c:v>8000</c:v>
                </c:pt>
              </c:numCache>
            </c:numRef>
          </c:yVal>
          <c:smooth val="1"/>
        </c:ser>
        <c:ser>
          <c:idx val="11"/>
          <c:order val="11"/>
          <c:tx>
            <c:strRef>
              <c:f>"Opt Schalt 6."</c:f>
              <c:strCache>
                <c:ptCount val="1"/>
                <c:pt idx="0">
                  <c:v>Opt Schalt 6.</c:v>
                </c:pt>
              </c:strCache>
            </c:strRef>
          </c:tx>
          <c:spPr>
            <a:solidFill>
              <a:srgbClr val="00ff00"/>
            </a:solidFill>
            <a:ln w="126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Zugkraftdiagramm'!$H$105,'Getriebe- u. Zugkraftdiagramm'!$I$104</c:f>
              <c:numCache>
                <c:formatCode>0</c:formatCode>
                <c:ptCount val="2"/>
                <c:pt idx="0">
                  <c:v>326.469483352445</c:v>
                </c:pt>
                <c:pt idx="1">
                  <c:v>326.469483352445</c:v>
                </c:pt>
              </c:numCache>
            </c:numRef>
          </c:xVal>
          <c:yVal>
            <c:numRef>
              <c:f>'Getriebe- u. Zugkraftdiagramm'!$F$105,'Getriebe- u. Zugkraftdiagramm'!$G$104</c:f>
              <c:numCache>
                <c:formatCode>0</c:formatCode>
                <c:ptCount val="2"/>
                <c:pt idx="1">
                  <c:v>8000</c:v>
                </c:pt>
              </c:numCache>
            </c:numRef>
          </c:yVal>
          <c:smooth val="1"/>
        </c:ser>
        <c:ser>
          <c:idx val="12"/>
          <c:order val="12"/>
          <c:tx>
            <c:strRef>
              <c:f>"Opt Schalt 7."</c:f>
              <c:strCache>
                <c:ptCount val="1"/>
                <c:pt idx="0">
                  <c:v>Opt Schalt 7.</c:v>
                </c:pt>
              </c:strCache>
            </c:strRef>
          </c:tx>
          <c:spPr>
            <a:solidFill>
              <a:srgbClr val="00ff00"/>
            </a:solidFill>
            <a:ln w="126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Zugkraftdiagramm'!$I$105,'Getriebe- u. Zugkraftdiagramm'!$I$105</c:f>
              <c:numCache>
                <c:formatCode>General</c:formatCode>
                <c:ptCount val="2"/>
              </c:numCache>
            </c:numRef>
          </c:xVal>
          <c:yVal>
            <c:numRef>
              <c:f>'Getriebe- u. Zugkraftdiagramm'!$G$105,'Getriebe- u. Zugkraftdiagramm'!$F$99</c:f>
              <c:numCache>
                <c:formatCode>0</c:formatCode>
                <c:ptCount val="2"/>
                <c:pt idx="1">
                  <c:v>0</c:v>
                </c:pt>
              </c:numCache>
            </c:numRef>
          </c:yVal>
          <c:smooth val="1"/>
        </c:ser>
        <c:ser>
          <c:idx val="13"/>
          <c:order val="13"/>
          <c:tx>
            <c:strRef>
              <c:f>"Schaltpunkt 1-2"</c:f>
              <c:strCache>
                <c:ptCount val="1"/>
                <c:pt idx="0">
                  <c:v>Schaltpunkt 1-2</c:v>
                </c:pt>
              </c:strCache>
            </c:strRef>
          </c:tx>
          <c:spPr>
            <a:solidFill>
              <a:srgbClr val="ff0000"/>
            </a:solidFill>
            <a:ln w="126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Zugkraftdiagramm'!$E$99,'Getriebe- u. Zugkraftdiagramm'!$D$100</c:f>
              <c:numCache>
                <c:formatCode>0</c:formatCode>
                <c:ptCount val="2"/>
                <c:pt idx="0">
                  <c:v>63.9500194501596</c:v>
                </c:pt>
                <c:pt idx="1">
                  <c:v>63.9500194501596</c:v>
                </c:pt>
              </c:numCache>
            </c:numRef>
          </c:xVal>
          <c:yVal>
            <c:numRef>
              <c:f>'Getriebe- u. Zugkraftdiagramm'!$B$100,'Getriebe- u. Zugkraftdiagramm'!$C$99</c:f>
              <c:numCache>
                <c:formatCode>0</c:formatCode>
                <c:ptCount val="2"/>
                <c:pt idx="0">
                  <c:v>4784.48071918618</c:v>
                </c:pt>
                <c:pt idx="1">
                  <c:v>8000</c:v>
                </c:pt>
              </c:numCache>
            </c:numRef>
          </c:yVal>
          <c:smooth val="1"/>
        </c:ser>
        <c:ser>
          <c:idx val="14"/>
          <c:order val="14"/>
          <c:tx>
            <c:strRef>
              <c:f>"Schaltpunkt 2-3"</c:f>
              <c:strCache>
                <c:ptCount val="1"/>
                <c:pt idx="0">
                  <c:v>Schaltpunkt 2-3</c:v>
                </c:pt>
              </c:strCache>
            </c:strRef>
          </c:tx>
          <c:spPr>
            <a:solidFill>
              <a:srgbClr val="ff0000"/>
            </a:solidFill>
            <a:ln w="126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Zugkraftdiagramm'!$E$100,'Getriebe- u. Zugkraftdiagramm'!$E$100</c:f>
              <c:numCache>
                <c:formatCode>0</c:formatCode>
                <c:ptCount val="2"/>
                <c:pt idx="0">
                  <c:v>106.92908711069</c:v>
                </c:pt>
                <c:pt idx="1">
                  <c:v>106.92908711069</c:v>
                </c:pt>
              </c:numCache>
            </c:numRef>
          </c:xVal>
          <c:yVal>
            <c:numRef>
              <c:f>'Getriebe- u. Zugkraftdiagramm'!$C$100,'Getriebe- u. Zugkraftdiagramm'!$B$101</c:f>
              <c:numCache>
                <c:formatCode>0</c:formatCode>
                <c:ptCount val="2"/>
                <c:pt idx="0">
                  <c:v>8000</c:v>
                </c:pt>
                <c:pt idx="1">
                  <c:v>5281.64556962025</c:v>
                </c:pt>
              </c:numCache>
            </c:numRef>
          </c:yVal>
          <c:smooth val="1"/>
        </c:ser>
        <c:ser>
          <c:idx val="15"/>
          <c:order val="15"/>
          <c:tx>
            <c:strRef>
              <c:f>"Schaltpunkt 3-4"</c:f>
              <c:strCache>
                <c:ptCount val="1"/>
                <c:pt idx="0">
                  <c:v>Schaltpunkt 3-4</c:v>
                </c:pt>
              </c:strCache>
            </c:strRef>
          </c:tx>
          <c:spPr>
            <a:solidFill>
              <a:srgbClr val="ff0000"/>
            </a:solidFill>
            <a:ln w="126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Zugkraftdiagramm'!$E$101,'Getriebe- u. Zugkraftdiagramm'!$D$102</c:f>
              <c:numCache>
                <c:formatCode>0</c:formatCode>
                <c:ptCount val="2"/>
                <c:pt idx="0">
                  <c:v>161.963290722483</c:v>
                </c:pt>
                <c:pt idx="1">
                  <c:v>161.963290722483</c:v>
                </c:pt>
              </c:numCache>
            </c:numRef>
          </c:xVal>
          <c:yVal>
            <c:numRef>
              <c:f>'Getriebe- u. Zugkraftdiagramm'!$C$101,'Getriebe- u. Zugkraftdiagramm'!$B$102</c:f>
              <c:numCache>
                <c:formatCode>0</c:formatCode>
                <c:ptCount val="2"/>
                <c:pt idx="0">
                  <c:v>8000</c:v>
                </c:pt>
                <c:pt idx="1">
                  <c:v>5876.57279808268</c:v>
                </c:pt>
              </c:numCache>
            </c:numRef>
          </c:yVal>
          <c:smooth val="1"/>
        </c:ser>
        <c:ser>
          <c:idx val="16"/>
          <c:order val="16"/>
          <c:tx>
            <c:strRef>
              <c:f>"Schaltpunkt 4-5"</c:f>
              <c:strCache>
                <c:ptCount val="1"/>
                <c:pt idx="0">
                  <c:v>Schaltpunkt 4-5</c:v>
                </c:pt>
              </c:strCache>
            </c:strRef>
          </c:tx>
          <c:spPr>
            <a:solidFill>
              <a:srgbClr val="ff0000"/>
            </a:solidFill>
            <a:ln w="126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Zugkraftdiagramm'!$E$102,'Getriebe- u. Zugkraftdiagramm'!$D$103</c:f>
              <c:numCache>
                <c:formatCode>0</c:formatCode>
                <c:ptCount val="2"/>
                <c:pt idx="0">
                  <c:v>220.486731008014</c:v>
                </c:pt>
                <c:pt idx="1">
                  <c:v>220.486731008014</c:v>
                </c:pt>
              </c:numCache>
            </c:numRef>
          </c:xVal>
          <c:yVal>
            <c:numRef>
              <c:f>'Getriebe- u. Zugkraftdiagramm'!$C$102,'Getriebe- u. Zugkraftdiagramm'!$B$103</c:f>
              <c:numCache>
                <c:formatCode>0</c:formatCode>
                <c:ptCount val="2"/>
                <c:pt idx="0">
                  <c:v>8000</c:v>
                </c:pt>
                <c:pt idx="1">
                  <c:v>6525.2854812398</c:v>
                </c:pt>
              </c:numCache>
            </c:numRef>
          </c:yVal>
          <c:smooth val="1"/>
        </c:ser>
        <c:ser>
          <c:idx val="17"/>
          <c:order val="17"/>
          <c:tx>
            <c:strRef>
              <c:f>"Schaltpunkt 5-6"</c:f>
              <c:strCache>
                <c:ptCount val="1"/>
                <c:pt idx="0">
                  <c:v>Schaltpunkt 5-6</c:v>
                </c:pt>
              </c:strCache>
            </c:strRef>
          </c:tx>
          <c:spPr>
            <a:solidFill>
              <a:srgbClr val="ff0000"/>
            </a:solidFill>
            <a:ln w="126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Zugkraftdiagramm'!$E$103,'Getriebe- u. Zugkraftdiagramm'!$D$104</c:f>
              <c:numCache>
                <c:formatCode>0</c:formatCode>
                <c:ptCount val="2"/>
                <c:pt idx="0">
                  <c:v>270.316732215825</c:v>
                </c:pt>
                <c:pt idx="1">
                  <c:v>270.316732215825</c:v>
                </c:pt>
              </c:numCache>
            </c:numRef>
          </c:xVal>
          <c:yVal>
            <c:numRef>
              <c:f>'Getriebe- u. Zugkraftdiagramm'!$C$103,'Getriebe- u. Zugkraftdiagramm'!$B$104</c:f>
              <c:numCache>
                <c:formatCode>0</c:formatCode>
                <c:ptCount val="2"/>
                <c:pt idx="0">
                  <c:v>8000</c:v>
                </c:pt>
                <c:pt idx="1">
                  <c:v>6624</c:v>
                </c:pt>
              </c:numCache>
            </c:numRef>
          </c:yVal>
          <c:smooth val="1"/>
        </c:ser>
        <c:ser>
          <c:idx val="18"/>
          <c:order val="18"/>
          <c:tx>
            <c:strRef>
              <c:f>"Schaltpunkt 6-7"</c:f>
              <c:strCache>
                <c:ptCount val="1"/>
                <c:pt idx="0">
                  <c:v>Schaltpunkt 6-7</c:v>
                </c:pt>
              </c:strCache>
            </c:strRef>
          </c:tx>
          <c:spPr>
            <a:solidFill>
              <a:srgbClr val="ff0000"/>
            </a:solidFill>
            <a:ln w="126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Zugkraftdiagramm'!$E$104,'Getriebe- u. Zugkraftdiagramm'!$D$105</c:f>
              <c:numCache>
                <c:formatCode>0</c:formatCode>
                <c:ptCount val="2"/>
                <c:pt idx="0">
                  <c:v>326.469483352445</c:v>
                </c:pt>
                <c:pt idx="1">
                  <c:v>326.469483352445</c:v>
                </c:pt>
              </c:numCache>
            </c:numRef>
          </c:xVal>
          <c:yVal>
            <c:numRef>
              <c:f>'Getriebe- u. Zugkraftdiagramm'!$C$104,'Getriebe- u. Zugkraftdiagramm'!$B$105</c:f>
              <c:numCache>
                <c:formatCode>0</c:formatCode>
                <c:ptCount val="2"/>
                <c:pt idx="0">
                  <c:v>8000</c:v>
                </c:pt>
              </c:numCache>
            </c:numRef>
          </c:yVal>
          <c:smooth val="1"/>
        </c:ser>
        <c:axId val="24666036"/>
        <c:axId val="41154851"/>
      </c:scatterChart>
      <c:scatterChart>
        <c:scatterStyle val="line"/>
        <c:varyColors val="0"/>
        <c:ser>
          <c:idx val="19"/>
          <c:order val="19"/>
          <c:tx>
            <c:strRef>
              <c:f>"5. Gang"</c:f>
              <c:strCache>
                <c:ptCount val="1"/>
                <c:pt idx="0">
                  <c:v>5.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Zugkraftdiagramm'!$L$103:$M$103</c:f>
              <c:numCache>
                <c:formatCode>General</c:formatCode>
                <c:ptCount val="2"/>
                <c:pt idx="0">
                  <c:v>33.7895915269781</c:v>
                </c:pt>
                <c:pt idx="1">
                  <c:v>270.316732215825</c:v>
                </c:pt>
              </c:numCache>
            </c:numRef>
          </c:xVal>
          <c:yVal>
            <c:numRef>
              <c:f>'Getriebe- u. Zugkraftdiagramm'!$J$103:$K$103</c:f>
              <c:numCache>
                <c:formatCode>General</c:formatCode>
                <c:ptCount val="2"/>
                <c:pt idx="0">
                  <c:v>1000</c:v>
                </c:pt>
                <c:pt idx="1">
                  <c:v>8000</c:v>
                </c:pt>
              </c:numCache>
            </c:numRef>
          </c:yVal>
          <c:smooth val="1"/>
        </c:ser>
        <c:axId val="97835818"/>
        <c:axId val="901544"/>
      </c:scatterChart>
      <c:valAx>
        <c:axId val="24666036"/>
        <c:scaling>
          <c:orientation val="minMax"/>
          <c:max val="340"/>
          <c:min val="0"/>
        </c:scaling>
        <c:delete val="0"/>
        <c:axPos val="b"/>
        <c:majorGridlines>
          <c:spPr>
            <a:ln w="25200">
              <a:solidFill>
                <a:srgbClr val="000000"/>
              </a:solidFill>
              <a:round/>
            </a:ln>
          </c:spPr>
        </c:majorGridlines>
        <c:minorGridlines>
          <c:spPr>
            <a:ln w="0">
              <a:solidFill>
                <a:srgbClr val="000000"/>
              </a:solidFill>
            </a:ln>
          </c:spPr>
        </c:minorGridlines>
        <c:title>
          <c:tx>
            <c:rich>
              <a:bodyPr rot="0"/>
              <a:lstStyle/>
              <a:p>
                <a:pPr>
                  <a:defRPr b="0" sz="1300" strike="noStrike" u="none">
                    <a:uFillTx/>
                    <a:latin typeface="Arial"/>
                  </a:defRPr>
                </a:pPr>
                <a:r>
                  <a:rPr b="1" sz="1100" strike="noStrike" u="none">
                    <a:uFillTx/>
                    <a:latin typeface="Arial"/>
                  </a:rPr>
                  <a:t>v/</a:t>
                </a:r>
                <a:r>
                  <a:rPr b="0" sz="1000" strike="noStrike" u="none">
                    <a:uFillTx/>
                    <a:latin typeface="Arial"/>
                  </a:rPr>
                  <a:t>km/h</a:t>
                </a:r>
              </a:p>
            </c:rich>
          </c:tx>
          <c:layout>
            <c:manualLayout>
              <c:xMode val="edge"/>
              <c:yMode val="edge"/>
              <c:x val="0.855477386934673"/>
              <c:y val="0.92296511627907"/>
            </c:manualLayout>
          </c:layout>
          <c:overlay val="0"/>
          <c:spPr>
            <a:noFill/>
            <a:ln w="0">
              <a:noFill/>
            </a:ln>
          </c:spPr>
        </c:title>
        <c:numFmt formatCode="0" sourceLinked="1"/>
        <c:majorTickMark val="out"/>
        <c:minorTickMark val="none"/>
        <c:tickLblPos val="nextTo"/>
        <c:spPr>
          <a:ln w="25200">
            <a:solidFill>
              <a:srgbClr val="000000"/>
            </a:solidFill>
            <a:round/>
          </a:ln>
        </c:spPr>
        <c:txPr>
          <a:bodyPr/>
          <a:lstStyle/>
          <a:p>
            <a:pPr>
              <a:defRPr b="0" sz="1100" strike="noStrike" u="none">
                <a:solidFill>
                  <a:srgbClr val="000000"/>
                </a:solidFill>
                <a:uFillTx/>
                <a:latin typeface="Arial"/>
              </a:defRPr>
            </a:pPr>
          </a:p>
        </c:txPr>
        <c:crossAx val="41154851"/>
        <c:crossesAt val="0"/>
        <c:crossBetween val="midCat"/>
        <c:majorUnit val="20"/>
        <c:minorUnit val="5"/>
      </c:valAx>
      <c:valAx>
        <c:axId val="41154851"/>
        <c:scaling>
          <c:orientation val="minMax"/>
        </c:scaling>
        <c:delete val="0"/>
        <c:axPos val="l"/>
        <c:majorGridlines>
          <c:spPr>
            <a:ln w="25200">
              <a:solidFill>
                <a:srgbClr val="000000"/>
              </a:solidFill>
              <a:round/>
            </a:ln>
          </c:spPr>
        </c:majorGridlines>
        <c:minorGridlines>
          <c:spPr>
            <a:ln w="0">
              <a:solidFill>
                <a:srgbClr val="000000"/>
              </a:solidFill>
            </a:ln>
          </c:spPr>
        </c:minorGridlines>
        <c:title>
          <c:tx>
            <c:rich>
              <a:bodyPr rot="0"/>
              <a:lstStyle/>
              <a:p>
                <a:pPr>
                  <a:defRPr b="0" sz="1300" strike="noStrike" u="none">
                    <a:uFillTx/>
                    <a:latin typeface="Arial"/>
                  </a:defRPr>
                </a:pPr>
                <a:r>
                  <a:rPr b="1" sz="1100" strike="noStrike" u="none">
                    <a:uFillTx/>
                    <a:latin typeface="Arial"/>
                  </a:rPr>
                  <a:t>n/</a:t>
                </a:r>
                <a:r>
                  <a:rPr b="0" sz="1000" strike="noStrike" u="none">
                    <a:uFillTx/>
                    <a:latin typeface="Arial"/>
                  </a:rPr>
                  <a:t>min</a:t>
                </a:r>
                <a:r>
                  <a:rPr b="0" sz="1000" strike="noStrike" u="none" baseline="33000">
                    <a:uFillTx/>
                    <a:latin typeface="Arial"/>
                  </a:rPr>
                  <a:t>-1</a:t>
                </a:r>
              </a:p>
            </c:rich>
          </c:tx>
          <c:layout>
            <c:manualLayout>
              <c:xMode val="edge"/>
              <c:yMode val="edge"/>
              <c:x val="0.0179396984924623"/>
              <c:y val="0.016624273255814"/>
            </c:manualLayout>
          </c:layout>
          <c:overlay val="0"/>
          <c:spPr>
            <a:noFill/>
            <a:ln w="0">
              <a:noFill/>
            </a:ln>
          </c:spPr>
        </c:title>
        <c:numFmt formatCode="0" sourceLinked="1"/>
        <c:majorTickMark val="out"/>
        <c:minorTickMark val="none"/>
        <c:tickLblPos val="nextTo"/>
        <c:spPr>
          <a:ln w="25200">
            <a:solidFill>
              <a:srgbClr val="000000"/>
            </a:solidFill>
            <a:round/>
          </a:ln>
        </c:spPr>
        <c:txPr>
          <a:bodyPr/>
          <a:lstStyle/>
          <a:p>
            <a:pPr>
              <a:defRPr b="0" sz="1100" strike="noStrike" u="none">
                <a:solidFill>
                  <a:srgbClr val="000000"/>
                </a:solidFill>
                <a:uFillTx/>
                <a:latin typeface="Arial"/>
              </a:defRPr>
            </a:pPr>
          </a:p>
        </c:txPr>
        <c:crossAx val="24666036"/>
        <c:crossesAt val="0"/>
        <c:crossBetween val="midCat"/>
      </c:valAx>
      <c:valAx>
        <c:axId val="97835818"/>
        <c:scaling>
          <c:orientation val="minMax"/>
        </c:scaling>
        <c:delete val="1"/>
        <c:axPos val="t"/>
        <c:numFmt formatCode="0" sourceLinked="1"/>
        <c:majorTickMark val="cross"/>
        <c:minorTickMark val="none"/>
        <c:tickLblPos val="nextTo"/>
        <c:spPr>
          <a:ln w="0">
            <a:noFill/>
          </a:ln>
        </c:spPr>
        <c:txPr>
          <a:bodyPr/>
          <a:lstStyle/>
          <a:p>
            <a:pPr>
              <a:defRPr b="0" sz="1875" strike="noStrike" u="none">
                <a:solidFill>
                  <a:srgbClr val="000000"/>
                </a:solidFill>
                <a:uFillTx/>
                <a:latin typeface="Arial"/>
              </a:defRPr>
            </a:pPr>
          </a:p>
        </c:txPr>
        <c:crossAx val="901544"/>
        <c:crossBetween val="midCat"/>
      </c:valAx>
      <c:valAx>
        <c:axId val="901544"/>
        <c:scaling>
          <c:orientation val="minMax"/>
        </c:scaling>
        <c:delete val="1"/>
        <c:axPos val="r"/>
        <c:numFmt formatCode="General" sourceLinked="1"/>
        <c:majorTickMark val="cross"/>
        <c:minorTickMark val="none"/>
        <c:tickLblPos val="nextTo"/>
        <c:spPr>
          <a:ln w="0">
            <a:noFill/>
          </a:ln>
        </c:spPr>
        <c:txPr>
          <a:bodyPr/>
          <a:lstStyle/>
          <a:p>
            <a:pPr>
              <a:defRPr b="0" sz="1875" strike="noStrike" u="none">
                <a:solidFill>
                  <a:srgbClr val="000000"/>
                </a:solidFill>
                <a:uFillTx/>
                <a:latin typeface="Arial"/>
              </a:defRPr>
            </a:pPr>
          </a:p>
        </c:txPr>
        <c:crossAx val="97835818"/>
        <c:crossBetween val="midCat"/>
      </c:valAx>
      <c:spPr>
        <a:noFill/>
        <a:ln w="12600">
          <a:solidFill>
            <a:srgbClr val="000000"/>
          </a:solidFill>
          <a:round/>
        </a:ln>
      </c:spPr>
    </c:plotArea>
    <c:plotVisOnly val="1"/>
    <c:dispBlanksAs val="gap"/>
  </c:chart>
  <c:spPr>
    <a:noFill/>
    <a:ln w="1260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400" strike="noStrike" u="none">
                <a:solidFill>
                  <a:srgbClr val="000000"/>
                </a:solidFill>
                <a:uFillTx/>
                <a:latin typeface="Arial"/>
              </a:rPr>
              <a:t>Zugkraftdiagramm</a:t>
            </a:r>
          </a:p>
        </c:rich>
      </c:tx>
      <c:layout>
        <c:manualLayout>
          <c:xMode val="edge"/>
          <c:yMode val="edge"/>
          <c:x val="0.370675877713048"/>
          <c:y val="0.00776882305960938"/>
        </c:manualLayout>
      </c:layout>
      <c:overlay val="0"/>
      <c:spPr>
        <a:noFill/>
        <a:ln w="0">
          <a:noFill/>
        </a:ln>
      </c:spPr>
    </c:title>
    <c:autoTitleDeleted val="0"/>
    <c:plotArea>
      <c:layout>
        <c:manualLayout>
          <c:xMode val="edge"/>
          <c:yMode val="edge"/>
          <c:x val="0.025467855853998"/>
          <c:y val="0.0581572642125899"/>
          <c:w val="0.974532144146002"/>
          <c:h val="0.911057866840921"/>
        </c:manualLayout>
      </c:layout>
      <c:scatterChart>
        <c:scatterStyle val="lineMarker"/>
        <c:varyColors val="0"/>
        <c:ser>
          <c:idx val="0"/>
          <c:order val="0"/>
          <c:tx>
            <c:strRef>
              <c:f>"1. Gang"</c:f>
              <c:strCache>
                <c:ptCount val="1"/>
                <c:pt idx="0">
                  <c:v>1.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Zugkraftdiagramm'!$C$83:$M$83</c:f>
              <c:numCache>
                <c:formatCode>0</c:formatCode>
                <c:ptCount val="11"/>
                <c:pt idx="0">
                  <c:v>7.99375243126995</c:v>
                </c:pt>
                <c:pt idx="1">
                  <c:v>15.9875048625399</c:v>
                </c:pt>
                <c:pt idx="2">
                  <c:v>23.9812572938099</c:v>
                </c:pt>
                <c:pt idx="3">
                  <c:v>31.9750097250798</c:v>
                </c:pt>
                <c:pt idx="4">
                  <c:v>39.1693869132228</c:v>
                </c:pt>
                <c:pt idx="5">
                  <c:v>47.9625145876197</c:v>
                </c:pt>
                <c:pt idx="6">
                  <c:v>55.9562670188897</c:v>
                </c:pt>
                <c:pt idx="7">
                  <c:v>63.1506442070326</c:v>
                </c:pt>
                <c:pt idx="8">
                  <c:v>63.9500194501596</c:v>
                </c:pt>
                <c:pt idx="9">
                  <c:v>63.9500194501596</c:v>
                </c:pt>
                <c:pt idx="10">
                  <c:v>63.9500194501596</c:v>
                </c:pt>
              </c:numCache>
            </c:numRef>
          </c:xVal>
          <c:yVal>
            <c:numRef>
              <c:f>'Getriebe- u. Zugkraftdiagramm'!$C$84:$M$84</c:f>
              <c:numCache>
                <c:formatCode>0</c:formatCode>
                <c:ptCount val="11"/>
                <c:pt idx="0">
                  <c:v>10222.8358685448</c:v>
                </c:pt>
                <c:pt idx="1">
                  <c:v>11939.6794276198</c:v>
                </c:pt>
                <c:pt idx="2">
                  <c:v>13380.6752206084</c:v>
                </c:pt>
                <c:pt idx="3">
                  <c:v>14615.8144717414</c:v>
                </c:pt>
                <c:pt idx="4">
                  <c:v>15233.384097308</c:v>
                </c:pt>
                <c:pt idx="5">
                  <c:v>14821.671013597</c:v>
                </c:pt>
                <c:pt idx="6">
                  <c:v>14204.1013880304</c:v>
                </c:pt>
                <c:pt idx="7">
                  <c:v>13189.1504633124</c:v>
                </c:pt>
                <c:pt idx="8">
                  <c:v>12975.137833153</c:v>
                </c:pt>
                <c:pt idx="9">
                  <c:v>12975.137833153</c:v>
                </c:pt>
                <c:pt idx="10">
                  <c:v>12975.137833153</c:v>
                </c:pt>
              </c:numCache>
            </c:numRef>
          </c:yVal>
          <c:smooth val="1"/>
        </c:ser>
        <c:ser>
          <c:idx val="1"/>
          <c:order val="1"/>
          <c:tx>
            <c:strRef>
              <c:f>"2. Gang"</c:f>
              <c:strCache>
                <c:ptCount val="1"/>
                <c:pt idx="0">
                  <c:v>2.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Zugkraftdiagramm'!$C$85:$M$85</c:f>
              <c:numCache>
                <c:formatCode>0</c:formatCode>
                <c:ptCount val="11"/>
                <c:pt idx="0">
                  <c:v>13.3661358888363</c:v>
                </c:pt>
                <c:pt idx="1">
                  <c:v>26.7322717776725</c:v>
                </c:pt>
                <c:pt idx="2">
                  <c:v>40.0984076665088</c:v>
                </c:pt>
                <c:pt idx="3">
                  <c:v>53.4645435553451</c:v>
                </c:pt>
                <c:pt idx="4">
                  <c:v>65.4940658552977</c:v>
                </c:pt>
                <c:pt idx="5">
                  <c:v>80.1968153330176</c:v>
                </c:pt>
                <c:pt idx="6">
                  <c:v>93.5629512218539</c:v>
                </c:pt>
                <c:pt idx="7">
                  <c:v>105.592473521807</c:v>
                </c:pt>
                <c:pt idx="8">
                  <c:v>106.92908711069</c:v>
                </c:pt>
                <c:pt idx="9">
                  <c:v>106.92908711069</c:v>
                </c:pt>
                <c:pt idx="10">
                  <c:v>106.92908711069</c:v>
                </c:pt>
              </c:numCache>
            </c:numRef>
          </c:xVal>
          <c:yVal>
            <c:numRef>
              <c:f>'Getriebe- u. Zugkraftdiagramm'!$C$86:$M$86</c:f>
              <c:numCache>
                <c:formatCode>0</c:formatCode>
                <c:ptCount val="11"/>
                <c:pt idx="0">
                  <c:v>6181.8020289856</c:v>
                </c:pt>
                <c:pt idx="1">
                  <c:v>7219.9862601926</c:v>
                </c:pt>
                <c:pt idx="2">
                  <c:v>8091.36391228481</c:v>
                </c:pt>
                <c:pt idx="3">
                  <c:v>8838.25904264957</c:v>
                </c:pt>
                <c:pt idx="4">
                  <c:v>9211.70660783194</c:v>
                </c:pt>
                <c:pt idx="5">
                  <c:v>8962.74156437703</c:v>
                </c:pt>
                <c:pt idx="6">
                  <c:v>8589.29399919465</c:v>
                </c:pt>
                <c:pt idx="7">
                  <c:v>7975.54789523459</c:v>
                </c:pt>
                <c:pt idx="8">
                  <c:v>7846.13334448172</c:v>
                </c:pt>
                <c:pt idx="9">
                  <c:v>7846.13334448172</c:v>
                </c:pt>
                <c:pt idx="10">
                  <c:v>7846.13334448172</c:v>
                </c:pt>
              </c:numCache>
            </c:numRef>
          </c:yVal>
          <c:smooth val="1"/>
        </c:ser>
        <c:ser>
          <c:idx val="2"/>
          <c:order val="2"/>
          <c:tx>
            <c:strRef>
              <c:f>"3. Gang"</c:f>
              <c:strCache>
                <c:ptCount val="1"/>
                <c:pt idx="0">
                  <c:v>3.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Zugkraftdiagramm'!$C$87:$M$87</c:f>
              <c:numCache>
                <c:formatCode>0</c:formatCode>
                <c:ptCount val="11"/>
                <c:pt idx="0">
                  <c:v>20.2454113403104</c:v>
                </c:pt>
                <c:pt idx="1">
                  <c:v>40.4908226806208</c:v>
                </c:pt>
                <c:pt idx="2">
                  <c:v>60.7362340209313</c:v>
                </c:pt>
                <c:pt idx="3">
                  <c:v>80.9816453612417</c:v>
                </c:pt>
                <c:pt idx="4">
                  <c:v>99.2025155675211</c:v>
                </c:pt>
                <c:pt idx="5">
                  <c:v>121.472468041863</c:v>
                </c:pt>
                <c:pt idx="6">
                  <c:v>141.717879382173</c:v>
                </c:pt>
                <c:pt idx="7">
                  <c:v>159.938749588452</c:v>
                </c:pt>
                <c:pt idx="8">
                  <c:v>161.963290722483</c:v>
                </c:pt>
                <c:pt idx="9">
                  <c:v>161.963290722483</c:v>
                </c:pt>
                <c:pt idx="10">
                  <c:v>161.963290722483</c:v>
                </c:pt>
              </c:numCache>
            </c:numRef>
          </c:xVal>
          <c:yVal>
            <c:numRef>
              <c:f>'Getriebe- u. Zugkraftdiagramm'!$C$88:$M$88</c:f>
              <c:numCache>
                <c:formatCode>0</c:formatCode>
                <c:ptCount val="11"/>
                <c:pt idx="0">
                  <c:v>4170.95895436195</c:v>
                </c:pt>
                <c:pt idx="1">
                  <c:v>4871.43816659269</c:v>
                </c:pt>
                <c:pt idx="2">
                  <c:v>5459.3703591125</c:v>
                </c:pt>
                <c:pt idx="3">
                  <c:v>5963.31223841519</c:v>
                </c:pt>
                <c:pt idx="4">
                  <c:v>6215.28317806654</c:v>
                </c:pt>
                <c:pt idx="5">
                  <c:v>6047.30255163231</c:v>
                </c:pt>
                <c:pt idx="6">
                  <c:v>5795.33161198096</c:v>
                </c:pt>
                <c:pt idx="7">
                  <c:v>5381.22747276493</c:v>
                </c:pt>
                <c:pt idx="8">
                  <c:v>5293.90944207478</c:v>
                </c:pt>
                <c:pt idx="9">
                  <c:v>5293.90944207478</c:v>
                </c:pt>
                <c:pt idx="10">
                  <c:v>5293.90944207478</c:v>
                </c:pt>
              </c:numCache>
            </c:numRef>
          </c:yVal>
          <c:smooth val="1"/>
        </c:ser>
        <c:ser>
          <c:idx val="3"/>
          <c:order val="3"/>
          <c:tx>
            <c:strRef>
              <c:f>"4. Gang"</c:f>
              <c:strCache>
                <c:ptCount val="1"/>
                <c:pt idx="0">
                  <c:v>4.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Zugkraftdiagramm'!$C$89:$M$89</c:f>
              <c:numCache>
                <c:formatCode>0</c:formatCode>
                <c:ptCount val="11"/>
                <c:pt idx="0">
                  <c:v>27.5608413760017</c:v>
                </c:pt>
                <c:pt idx="1">
                  <c:v>55.1216827520034</c:v>
                </c:pt>
                <c:pt idx="2">
                  <c:v>82.6825241280051</c:v>
                </c:pt>
                <c:pt idx="3">
                  <c:v>110.243365504007</c:v>
                </c:pt>
                <c:pt idx="4">
                  <c:v>135.048122742408</c:v>
                </c:pt>
                <c:pt idx="5">
                  <c:v>165.36504825601</c:v>
                </c:pt>
                <c:pt idx="6">
                  <c:v>192.925889632012</c:v>
                </c:pt>
                <c:pt idx="7">
                  <c:v>217.730646870413</c:v>
                </c:pt>
                <c:pt idx="8">
                  <c:v>220.486731008014</c:v>
                </c:pt>
                <c:pt idx="9">
                  <c:v>220.486731008014</c:v>
                </c:pt>
                <c:pt idx="10">
                  <c:v>220.486731008014</c:v>
                </c:pt>
              </c:numCache>
            </c:numRef>
          </c:xVal>
          <c:yVal>
            <c:numRef>
              <c:f>'Getriebe- u. Zugkraftdiagramm'!$C$90:$M$90</c:f>
              <c:numCache>
                <c:formatCode>0</c:formatCode>
                <c:ptCount val="11"/>
                <c:pt idx="0">
                  <c:v>3129.75762586918</c:v>
                </c:pt>
                <c:pt idx="1">
                  <c:v>3655.37539871954</c:v>
                </c:pt>
                <c:pt idx="2">
                  <c:v>4096.54139511673</c:v>
                </c:pt>
                <c:pt idx="3">
                  <c:v>4474.68367774289</c:v>
                </c:pt>
                <c:pt idx="4">
                  <c:v>4663.75481905597</c:v>
                </c:pt>
                <c:pt idx="5">
                  <c:v>4537.70739151391</c:v>
                </c:pt>
                <c:pt idx="6">
                  <c:v>4348.63625020083</c:v>
                </c:pt>
                <c:pt idx="7">
                  <c:v>4037.90540825381</c:v>
                </c:pt>
                <c:pt idx="8">
                  <c:v>3972.3846789878</c:v>
                </c:pt>
                <c:pt idx="9">
                  <c:v>3972.3846789878</c:v>
                </c:pt>
                <c:pt idx="10">
                  <c:v>3972.3846789878</c:v>
                </c:pt>
              </c:numCache>
            </c:numRef>
          </c:yVal>
          <c:smooth val="1"/>
        </c:ser>
        <c:ser>
          <c:idx val="4"/>
          <c:order val="4"/>
          <c:tx>
            <c:strRef>
              <c:f>"5. Gang"</c:f>
              <c:strCache>
                <c:ptCount val="1"/>
                <c:pt idx="0">
                  <c:v>5.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Zugkraftdiagramm'!$C$91:$M$91</c:f>
              <c:numCache>
                <c:formatCode>0</c:formatCode>
                <c:ptCount val="11"/>
                <c:pt idx="0">
                  <c:v>33.7895915269781</c:v>
                </c:pt>
                <c:pt idx="1">
                  <c:v>67.5791830539562</c:v>
                </c:pt>
                <c:pt idx="2">
                  <c:v>101.368774580934</c:v>
                </c:pt>
                <c:pt idx="3">
                  <c:v>135.158366107912</c:v>
                </c:pt>
                <c:pt idx="4">
                  <c:v>165.568998482193</c:v>
                </c:pt>
                <c:pt idx="5">
                  <c:v>202.737549161869</c:v>
                </c:pt>
                <c:pt idx="6">
                  <c:v>236.527140688847</c:v>
                </c:pt>
                <c:pt idx="7">
                  <c:v>266.937773063127</c:v>
                </c:pt>
                <c:pt idx="8">
                  <c:v>270.316732215825</c:v>
                </c:pt>
                <c:pt idx="9">
                  <c:v>270.316732215825</c:v>
                </c:pt>
                <c:pt idx="10">
                  <c:v>270.316732215825</c:v>
                </c:pt>
              </c:numCache>
            </c:numRef>
          </c:xVal>
          <c:yVal>
            <c:numRef>
              <c:f>'Getriebe- u. Zugkraftdiagramm'!$C$92:$M$92</c:f>
              <c:numCache>
                <c:formatCode>0</c:formatCode>
                <c:ptCount val="11"/>
                <c:pt idx="0">
                  <c:v>2633.43562578501</c:v>
                </c:pt>
                <c:pt idx="1">
                  <c:v>3075.7000864988</c:v>
                </c:pt>
                <c:pt idx="2">
                  <c:v>3446.9052693521</c:v>
                </c:pt>
                <c:pt idx="3">
                  <c:v>3765.08114036922</c:v>
                </c:pt>
                <c:pt idx="4">
                  <c:v>3924.16907587778</c:v>
                </c:pt>
                <c:pt idx="5">
                  <c:v>3818.1104522054</c:v>
                </c:pt>
                <c:pt idx="6">
                  <c:v>3659.02251669685</c:v>
                </c:pt>
                <c:pt idx="7">
                  <c:v>3397.56787163109</c:v>
                </c:pt>
                <c:pt idx="8">
                  <c:v>3342.43752503481</c:v>
                </c:pt>
                <c:pt idx="9">
                  <c:v>3342.43752503481</c:v>
                </c:pt>
                <c:pt idx="10">
                  <c:v>3342.43752503481</c:v>
                </c:pt>
              </c:numCache>
            </c:numRef>
          </c:yVal>
          <c:smooth val="1"/>
        </c:ser>
        <c:ser>
          <c:idx val="5"/>
          <c:order val="5"/>
          <c:tx>
            <c:strRef>
              <c:f>"6. Gang"</c:f>
              <c:strCache>
                <c:ptCount val="1"/>
                <c:pt idx="0">
                  <c:v>6.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Zugkraftdiagramm'!$C$93:$M$93</c:f>
              <c:numCache>
                <c:formatCode>0</c:formatCode>
                <c:ptCount val="11"/>
                <c:pt idx="0">
                  <c:v>40.8086854190557</c:v>
                </c:pt>
                <c:pt idx="1">
                  <c:v>81.6173708381113</c:v>
                </c:pt>
                <c:pt idx="2">
                  <c:v>122.426056257167</c:v>
                </c:pt>
                <c:pt idx="3">
                  <c:v>163.234741676223</c:v>
                </c:pt>
                <c:pt idx="4">
                  <c:v>199.962558553373</c:v>
                </c:pt>
                <c:pt idx="5">
                  <c:v>244.852112514334</c:v>
                </c:pt>
                <c:pt idx="6">
                  <c:v>285.66079793339</c:v>
                </c:pt>
                <c:pt idx="7">
                  <c:v>322.38861481054</c:v>
                </c:pt>
                <c:pt idx="8">
                  <c:v>326.469483352445</c:v>
                </c:pt>
                <c:pt idx="9">
                  <c:v>326.469483352445</c:v>
                </c:pt>
                <c:pt idx="10">
                  <c:v>326.469483352445</c:v>
                </c:pt>
              </c:numCache>
            </c:numRef>
          </c:xVal>
          <c:yVal>
            <c:numRef>
              <c:f>'Getriebe- u. Zugkraftdiagramm'!$C$94:$M$94</c:f>
              <c:numCache>
                <c:formatCode>0</c:formatCode>
                <c:ptCount val="11"/>
                <c:pt idx="0">
                  <c:v>2069.23547885662</c:v>
                </c:pt>
                <c:pt idx="1">
                  <c:v>2416.74703531381</c:v>
                </c:pt>
                <c:pt idx="2">
                  <c:v>2708.42340164479</c:v>
                </c:pt>
                <c:pt idx="3">
                  <c:v>2958.43171564277</c:v>
                </c:pt>
                <c:pt idx="4">
                  <c:v>3083.43587264176</c:v>
                </c:pt>
                <c:pt idx="5">
                  <c:v>3000.09976797576</c:v>
                </c:pt>
                <c:pt idx="6">
                  <c:v>2875.09561097677</c:v>
                </c:pt>
                <c:pt idx="7">
                  <c:v>2669.65628966409</c:v>
                </c:pt>
                <c:pt idx="8">
                  <c:v>2626.33733854878</c:v>
                </c:pt>
                <c:pt idx="9">
                  <c:v>2626.33733854878</c:v>
                </c:pt>
                <c:pt idx="10">
                  <c:v>2626.33733854878</c:v>
                </c:pt>
              </c:numCache>
            </c:numRef>
          </c:yVal>
          <c:smooth val="1"/>
        </c:ser>
        <c:ser>
          <c:idx val="6"/>
          <c:order val="6"/>
          <c:tx>
            <c:strRef>
              <c:f>"7. Gang"</c:f>
              <c:strCache>
                <c:ptCount val="1"/>
                <c:pt idx="0">
                  <c:v>7. Gang</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'Getriebe- u. Zugkraftdiagramm'!$C$95:$M$95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xVal>
          <c:yVal>
            <c:numRef>
              <c:f>'Getriebe- u. Zugkraftdiagramm'!$C$96:$M$96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yVal>
          <c:smooth val="1"/>
        </c:ser>
        <c:ser>
          <c:idx val="7"/>
          <c:order val="7"/>
          <c:tx>
            <c:strRef>
              <c:f>'Getriebe- u. Zugkraftdiagramm'!$C$128</c:f>
              <c:strCache>
                <c:ptCount val="1"/>
                <c:pt idx="0">
                  <c:v>9999 %</c:v>
                </c:pt>
              </c:strCache>
            </c:strRef>
          </c:tx>
          <c:spPr>
            <a:solidFill>
              <a:srgbClr val="969696"/>
            </a:solidFill>
            <a:ln w="0">
              <a:solidFill>
                <a:srgbClr val="969696"/>
              </a:solidFill>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Zugkraftdiagramm'!$D$118:$L$118</c:f>
              <c:numCache>
                <c:formatCode>0</c:formatCode>
                <c:ptCount val="9"/>
                <c:pt idx="0">
                  <c:v>0</c:v>
                </c:pt>
                <c:pt idx="1">
                  <c:v>42.4410328358179</c:v>
                </c:pt>
                <c:pt idx="2">
                  <c:v>84.8820656716358</c:v>
                </c:pt>
                <c:pt idx="3">
                  <c:v>127.323098507454</c:v>
                </c:pt>
                <c:pt idx="4">
                  <c:v>169.764131343272</c:v>
                </c:pt>
                <c:pt idx="5">
                  <c:v>212.205164179089</c:v>
                </c:pt>
                <c:pt idx="6">
                  <c:v>212.205164179089</c:v>
                </c:pt>
                <c:pt idx="7">
                  <c:v>212.205164179089</c:v>
                </c:pt>
                <c:pt idx="8">
                  <c:v>212.205164179089</c:v>
                </c:pt>
              </c:numCache>
            </c:numRef>
          </c:xVal>
          <c:yVal>
            <c:numRef>
              <c:f>'Getriebe- u. Zugkraftdiagramm'!$D$128:$L$128</c:f>
              <c:numCache>
                <c:formatCode>0</c:formatCode>
                <c:ptCount val="9"/>
                <c:pt idx="0">
                  <c:v>13941.5434254879</c:v>
                </c:pt>
                <c:pt idx="1">
                  <c:v>14003.8119608699</c:v>
                </c:pt>
                <c:pt idx="2">
                  <c:v>14190.6175670162</c:v>
                </c:pt>
                <c:pt idx="3">
                  <c:v>14501.9602439265</c:v>
                </c:pt>
                <c:pt idx="4">
                  <c:v>14937.839991601</c:v>
                </c:pt>
                <c:pt idx="5">
                  <c:v>15498.2568100397</c:v>
                </c:pt>
                <c:pt idx="6">
                  <c:v>15498.2568100397</c:v>
                </c:pt>
                <c:pt idx="7">
                  <c:v>15498.2568100397</c:v>
                </c:pt>
                <c:pt idx="8">
                  <c:v>15498.2568100397</c:v>
                </c:pt>
              </c:numCache>
            </c:numRef>
          </c:yVal>
          <c:smooth val="1"/>
        </c:ser>
        <c:ser>
          <c:idx val="8"/>
          <c:order val="8"/>
          <c:tx>
            <c:strRef>
              <c:f>'Getriebe- u. Zugkraftdiagramm'!$C$127</c:f>
              <c:strCache>
                <c:ptCount val="1"/>
                <c:pt idx="0">
                  <c:v>80 %</c:v>
                </c:pt>
              </c:strCache>
            </c:strRef>
          </c:tx>
          <c:spPr>
            <a:solidFill>
              <a:srgbClr val="969696"/>
            </a:solidFill>
            <a:ln w="0">
              <a:solidFill>
                <a:srgbClr val="969696"/>
              </a:solidFill>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Zugkraftdiagramm'!$D$117:$L$117</c:f>
              <c:numCache>
                <c:formatCode>0</c:formatCode>
                <c:ptCount val="9"/>
                <c:pt idx="0">
                  <c:v>0</c:v>
                </c:pt>
                <c:pt idx="1">
                  <c:v>42.4410328358179</c:v>
                </c:pt>
                <c:pt idx="2">
                  <c:v>84.8820656716358</c:v>
                </c:pt>
                <c:pt idx="3">
                  <c:v>127.323098507454</c:v>
                </c:pt>
                <c:pt idx="4">
                  <c:v>169.764131343272</c:v>
                </c:pt>
                <c:pt idx="5">
                  <c:v>212.205164179089</c:v>
                </c:pt>
                <c:pt idx="6">
                  <c:v>254.646197014907</c:v>
                </c:pt>
                <c:pt idx="7">
                  <c:v>297.087229850725</c:v>
                </c:pt>
                <c:pt idx="8">
                  <c:v>339.528262686543</c:v>
                </c:pt>
              </c:numCache>
            </c:numRef>
          </c:xVal>
          <c:yVal>
            <c:numRef>
              <c:f>'Getriebe- u. Zugkraftdiagramm'!$D$127:$L$127</c:f>
              <c:numCache>
                <c:formatCode>0</c:formatCode>
                <c:ptCount val="9"/>
                <c:pt idx="0">
                  <c:v>8882.42031405633</c:v>
                </c:pt>
                <c:pt idx="1">
                  <c:v>8944.68884943841</c:v>
                </c:pt>
                <c:pt idx="2">
                  <c:v>9131.49445558463</c:v>
                </c:pt>
                <c:pt idx="3">
                  <c:v>9442.83713249499</c:v>
                </c:pt>
                <c:pt idx="4">
                  <c:v>9878.7168801695</c:v>
                </c:pt>
                <c:pt idx="5">
                  <c:v>10439.1336986082</c:v>
                </c:pt>
                <c:pt idx="6">
                  <c:v>11124.087587811</c:v>
                </c:pt>
                <c:pt idx="7">
                  <c:v>11933.5785477779</c:v>
                </c:pt>
                <c:pt idx="8">
                  <c:v>12867.606578509</c:v>
                </c:pt>
              </c:numCache>
            </c:numRef>
          </c:yVal>
          <c:smooth val="1"/>
        </c:ser>
        <c:ser>
          <c:idx val="9"/>
          <c:order val="9"/>
          <c:tx>
            <c:strRef>
              <c:f>'Getriebe- u. Zugkraftdiagramm'!$C$126</c:f>
              <c:strCache>
                <c:ptCount val="1"/>
                <c:pt idx="0">
                  <c:v>50 %</c:v>
                </c:pt>
              </c:strCache>
            </c:strRef>
          </c:tx>
          <c:spPr>
            <a:solidFill>
              <a:srgbClr val="969696"/>
            </a:solidFill>
            <a:ln w="0">
              <a:solidFill>
                <a:srgbClr val="969696"/>
              </a:solidFill>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Zugkraftdiagramm'!$D$116:$L$116</c:f>
              <c:numCache>
                <c:formatCode>0</c:formatCode>
                <c:ptCount val="9"/>
                <c:pt idx="0">
                  <c:v>0</c:v>
                </c:pt>
                <c:pt idx="1">
                  <c:v>42.4410328358179</c:v>
                </c:pt>
                <c:pt idx="2">
                  <c:v>84.8820656716358</c:v>
                </c:pt>
                <c:pt idx="3">
                  <c:v>127.323098507454</c:v>
                </c:pt>
                <c:pt idx="4">
                  <c:v>169.764131343272</c:v>
                </c:pt>
                <c:pt idx="5">
                  <c:v>212.205164179089</c:v>
                </c:pt>
                <c:pt idx="6">
                  <c:v>254.646197014907</c:v>
                </c:pt>
                <c:pt idx="7">
                  <c:v>297.087229850725</c:v>
                </c:pt>
                <c:pt idx="8">
                  <c:v>339.528262686543</c:v>
                </c:pt>
              </c:numCache>
            </c:numRef>
          </c:xVal>
          <c:yVal>
            <c:numRef>
              <c:f>'Getriebe- u. Zugkraftdiagramm'!$D$126:$L$126</c:f>
              <c:numCache>
                <c:formatCode>0</c:formatCode>
                <c:ptCount val="9"/>
                <c:pt idx="0">
                  <c:v>6433.65517719434</c:v>
                </c:pt>
                <c:pt idx="1">
                  <c:v>6495.92371257641</c:v>
                </c:pt>
                <c:pt idx="2">
                  <c:v>6682.72931872263</c:v>
                </c:pt>
                <c:pt idx="3">
                  <c:v>6994.071995633</c:v>
                </c:pt>
                <c:pt idx="4">
                  <c:v>7429.95174330751</c:v>
                </c:pt>
                <c:pt idx="5">
                  <c:v>7990.36856174616</c:v>
                </c:pt>
                <c:pt idx="6">
                  <c:v>8675.32245094897</c:v>
                </c:pt>
                <c:pt idx="7">
                  <c:v>9484.81341091592</c:v>
                </c:pt>
                <c:pt idx="8">
                  <c:v>10418.841441647</c:v>
                </c:pt>
              </c:numCache>
            </c:numRef>
          </c:yVal>
          <c:smooth val="1"/>
        </c:ser>
        <c:ser>
          <c:idx val="10"/>
          <c:order val="10"/>
          <c:tx>
            <c:strRef>
              <c:f>'Getriebe- u. Zugkraftdiagramm'!$C$125</c:f>
              <c:strCache>
                <c:ptCount val="1"/>
                <c:pt idx="0">
                  <c:v>30 %</c:v>
                </c:pt>
              </c:strCache>
            </c:strRef>
          </c:tx>
          <c:spPr>
            <a:solidFill>
              <a:srgbClr val="969696"/>
            </a:solidFill>
            <a:ln w="0">
              <a:solidFill>
                <a:srgbClr val="969696"/>
              </a:solidFill>
            </a:ln>
          </c:spPr>
          <c:marker>
            <c:symbol val="square"/>
            <c:size val="2"/>
            <c:spPr>
              <a:solidFill>
                <a:srgbClr val="969696"/>
              </a:solidFill>
            </c:spPr>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Zugkraftdiagramm'!$D$115:$L$115</c:f>
              <c:numCache>
                <c:formatCode>0</c:formatCode>
                <c:ptCount val="9"/>
                <c:pt idx="0">
                  <c:v>0</c:v>
                </c:pt>
                <c:pt idx="1">
                  <c:v>42.4410328358179</c:v>
                </c:pt>
                <c:pt idx="2">
                  <c:v>84.8820656716358</c:v>
                </c:pt>
                <c:pt idx="3">
                  <c:v>127.323098507454</c:v>
                </c:pt>
                <c:pt idx="4">
                  <c:v>169.764131343272</c:v>
                </c:pt>
                <c:pt idx="5">
                  <c:v>212.205164179089</c:v>
                </c:pt>
                <c:pt idx="6">
                  <c:v>254.646197014907</c:v>
                </c:pt>
                <c:pt idx="7">
                  <c:v>297.087229850725</c:v>
                </c:pt>
                <c:pt idx="8">
                  <c:v>339.528262686543</c:v>
                </c:pt>
              </c:numCache>
            </c:numRef>
          </c:xVal>
          <c:yVal>
            <c:numRef>
              <c:f>'Getriebe- u. Zugkraftdiagramm'!$D$125:$L$125</c:f>
              <c:numCache>
                <c:formatCode>0</c:formatCode>
                <c:ptCount val="9"/>
                <c:pt idx="0">
                  <c:v>4219.26612618164</c:v>
                </c:pt>
                <c:pt idx="1">
                  <c:v>4281.53466156372</c:v>
                </c:pt>
                <c:pt idx="2">
                  <c:v>4468.34026770994</c:v>
                </c:pt>
                <c:pt idx="3">
                  <c:v>4779.6829446203</c:v>
                </c:pt>
                <c:pt idx="4">
                  <c:v>5215.56269229481</c:v>
                </c:pt>
                <c:pt idx="5">
                  <c:v>5775.97951073347</c:v>
                </c:pt>
                <c:pt idx="6">
                  <c:v>6460.93339993627</c:v>
                </c:pt>
                <c:pt idx="7">
                  <c:v>7270.42435990322</c:v>
                </c:pt>
                <c:pt idx="8">
                  <c:v>8204.45239063431</c:v>
                </c:pt>
              </c:numCache>
            </c:numRef>
          </c:yVal>
          <c:smooth val="1"/>
        </c:ser>
        <c:ser>
          <c:idx val="11"/>
          <c:order val="11"/>
          <c:tx>
            <c:strRef>
              <c:f>'Getriebe- u. Zugkraftdiagramm'!$C$124</c:f>
              <c:strCache>
                <c:ptCount val="1"/>
                <c:pt idx="0">
                  <c:v>20 %</c:v>
                </c:pt>
              </c:strCache>
            </c:strRef>
          </c:tx>
          <c:spPr>
            <a:solidFill>
              <a:srgbClr val="969696"/>
            </a:solidFill>
            <a:ln w="0">
              <a:solidFill>
                <a:srgbClr val="969696"/>
              </a:solidFill>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Zugkraftdiagramm'!$D$114:$L$114</c:f>
              <c:numCache>
                <c:formatCode>0</c:formatCode>
                <c:ptCount val="9"/>
                <c:pt idx="0">
                  <c:v>0</c:v>
                </c:pt>
                <c:pt idx="1">
                  <c:v>42.4410328358179</c:v>
                </c:pt>
                <c:pt idx="2">
                  <c:v>84.8820656716358</c:v>
                </c:pt>
                <c:pt idx="3">
                  <c:v>127.323098507454</c:v>
                </c:pt>
                <c:pt idx="4">
                  <c:v>169.764131343272</c:v>
                </c:pt>
                <c:pt idx="5">
                  <c:v>212.205164179089</c:v>
                </c:pt>
                <c:pt idx="6">
                  <c:v>254.646197014907</c:v>
                </c:pt>
                <c:pt idx="7">
                  <c:v>297.087229850725</c:v>
                </c:pt>
                <c:pt idx="8">
                  <c:v>339.528262686543</c:v>
                </c:pt>
              </c:numCache>
            </c:numRef>
          </c:xVal>
          <c:yVal>
            <c:numRef>
              <c:f>'Getriebe- u. Zugkraftdiagramm'!$D$124:$L$124</c:f>
              <c:numCache>
                <c:formatCode>0</c:formatCode>
                <c:ptCount val="9"/>
                <c:pt idx="0">
                  <c:v>2952.56975578665</c:v>
                </c:pt>
                <c:pt idx="1">
                  <c:v>3014.83829116872</c:v>
                </c:pt>
                <c:pt idx="2">
                  <c:v>3201.64389731494</c:v>
                </c:pt>
                <c:pt idx="3">
                  <c:v>3512.9865742253</c:v>
                </c:pt>
                <c:pt idx="4">
                  <c:v>3948.86632189982</c:v>
                </c:pt>
                <c:pt idx="5">
                  <c:v>4509.28314033847</c:v>
                </c:pt>
                <c:pt idx="6">
                  <c:v>5194.23702954128</c:v>
                </c:pt>
                <c:pt idx="7">
                  <c:v>6003.72798950822</c:v>
                </c:pt>
                <c:pt idx="8">
                  <c:v>6937.75602023932</c:v>
                </c:pt>
              </c:numCache>
            </c:numRef>
          </c:yVal>
          <c:smooth val="1"/>
        </c:ser>
        <c:ser>
          <c:idx val="12"/>
          <c:order val="12"/>
          <c:tx>
            <c:strRef>
              <c:f>'Getriebe- u. Zugkraftdiagramm'!$C$123</c:f>
              <c:strCache>
                <c:ptCount val="1"/>
                <c:pt idx="0">
                  <c:v>10 %</c:v>
                </c:pt>
              </c:strCache>
            </c:strRef>
          </c:tx>
          <c:spPr>
            <a:solidFill>
              <a:srgbClr val="969696"/>
            </a:solidFill>
            <a:ln w="0">
              <a:solidFill>
                <a:srgbClr val="969696"/>
              </a:solidFill>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Zugkraftdiagramm'!$D$113:$L$113</c:f>
              <c:numCache>
                <c:formatCode>0</c:formatCode>
                <c:ptCount val="9"/>
                <c:pt idx="0">
                  <c:v>0</c:v>
                </c:pt>
                <c:pt idx="1">
                  <c:v>42.4410328358179</c:v>
                </c:pt>
                <c:pt idx="2">
                  <c:v>84.8820656716358</c:v>
                </c:pt>
                <c:pt idx="3">
                  <c:v>127.323098507454</c:v>
                </c:pt>
                <c:pt idx="4">
                  <c:v>169.764131343272</c:v>
                </c:pt>
                <c:pt idx="5">
                  <c:v>212.205164179089</c:v>
                </c:pt>
                <c:pt idx="6">
                  <c:v>254.646197014907</c:v>
                </c:pt>
                <c:pt idx="7">
                  <c:v>297.087229850725</c:v>
                </c:pt>
                <c:pt idx="8">
                  <c:v>339.528262686543</c:v>
                </c:pt>
              </c:numCache>
            </c:numRef>
          </c:xVal>
          <c:yVal>
            <c:numRef>
              <c:f>'Getriebe- u. Zugkraftdiagramm'!$D$123:$L$123</c:f>
              <c:numCache>
                <c:formatCode>0</c:formatCode>
                <c:ptCount val="9"/>
                <c:pt idx="0">
                  <c:v>1609.0160923003</c:v>
                </c:pt>
                <c:pt idx="1">
                  <c:v>1671.28462768237</c:v>
                </c:pt>
                <c:pt idx="2">
                  <c:v>1858.09023382859</c:v>
                </c:pt>
                <c:pt idx="3">
                  <c:v>2169.43291073896</c:v>
                </c:pt>
                <c:pt idx="4">
                  <c:v>2605.31265841347</c:v>
                </c:pt>
                <c:pt idx="5">
                  <c:v>3165.72947685213</c:v>
                </c:pt>
                <c:pt idx="6">
                  <c:v>3850.68336605493</c:v>
                </c:pt>
                <c:pt idx="7">
                  <c:v>4660.17432602188</c:v>
                </c:pt>
                <c:pt idx="8">
                  <c:v>5594.20235675297</c:v>
                </c:pt>
              </c:numCache>
            </c:numRef>
          </c:yVal>
          <c:smooth val="1"/>
        </c:ser>
        <c:ser>
          <c:idx val="13"/>
          <c:order val="13"/>
          <c:tx>
            <c:strRef>
              <c:f>'Getriebe- u. Zugkraftdiagramm'!$C$122</c:f>
              <c:strCache>
                <c:ptCount val="1"/>
                <c:pt idx="0">
                  <c:v>5 %</c:v>
                </c:pt>
              </c:strCache>
            </c:strRef>
          </c:tx>
          <c:spPr>
            <a:solidFill>
              <a:srgbClr val="969696"/>
            </a:solidFill>
            <a:ln w="0">
              <a:solidFill>
                <a:srgbClr val="969696"/>
              </a:solidFill>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Zugkraftdiagramm'!$D$112:$L$112</c:f>
              <c:numCache>
                <c:formatCode>0</c:formatCode>
                <c:ptCount val="9"/>
                <c:pt idx="0">
                  <c:v>0</c:v>
                </c:pt>
                <c:pt idx="1">
                  <c:v>42.4410328358179</c:v>
                </c:pt>
                <c:pt idx="2">
                  <c:v>84.8820656716358</c:v>
                </c:pt>
                <c:pt idx="3">
                  <c:v>127.323098507454</c:v>
                </c:pt>
                <c:pt idx="4">
                  <c:v>169.764131343272</c:v>
                </c:pt>
                <c:pt idx="5">
                  <c:v>212.205164179089</c:v>
                </c:pt>
                <c:pt idx="6">
                  <c:v>254.646197014907</c:v>
                </c:pt>
                <c:pt idx="7">
                  <c:v>297.087229850725</c:v>
                </c:pt>
                <c:pt idx="8">
                  <c:v>339.528262686543</c:v>
                </c:pt>
              </c:numCache>
            </c:numRef>
          </c:xVal>
          <c:yVal>
            <c:numRef>
              <c:f>'Getriebe- u. Zugkraftdiagramm'!$D$122:$L$122</c:f>
              <c:numCache>
                <c:formatCode>0</c:formatCode>
                <c:ptCount val="9"/>
                <c:pt idx="0">
                  <c:v>918.892761037716</c:v>
                </c:pt>
                <c:pt idx="1">
                  <c:v>981.161296419789</c:v>
                </c:pt>
                <c:pt idx="2">
                  <c:v>1167.96690256601</c:v>
                </c:pt>
                <c:pt idx="3">
                  <c:v>1479.30957947637</c:v>
                </c:pt>
                <c:pt idx="4">
                  <c:v>1915.18932715088</c:v>
                </c:pt>
                <c:pt idx="5">
                  <c:v>2475.60614558954</c:v>
                </c:pt>
                <c:pt idx="6">
                  <c:v>3160.56003479234</c:v>
                </c:pt>
                <c:pt idx="7">
                  <c:v>3970.05099475929</c:v>
                </c:pt>
                <c:pt idx="8">
                  <c:v>4904.07902549039</c:v>
                </c:pt>
              </c:numCache>
            </c:numRef>
          </c:yVal>
          <c:smooth val="1"/>
        </c:ser>
        <c:ser>
          <c:idx val="14"/>
          <c:order val="14"/>
          <c:tx>
            <c:strRef>
              <c:f>'Getriebe- u. Zugkraftdiagramm'!$C$121</c:f>
              <c:strCache>
                <c:ptCount val="1"/>
                <c:pt idx="0">
                  <c:v>0 %</c:v>
                </c:pt>
              </c:strCache>
            </c:strRef>
          </c:tx>
          <c:spPr>
            <a:solidFill>
              <a:srgbClr val="ff0000"/>
            </a:solidFill>
            <a:ln w="0">
              <a:solidFill>
                <a:srgbClr val="ff0000"/>
              </a:solidFill>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Zugkraftdiagramm'!$D$111:$L$111</c:f>
              <c:numCache>
                <c:formatCode>0</c:formatCode>
                <c:ptCount val="9"/>
                <c:pt idx="0">
                  <c:v>0</c:v>
                </c:pt>
                <c:pt idx="1">
                  <c:v>42.4410328358179</c:v>
                </c:pt>
                <c:pt idx="2">
                  <c:v>84.8820656716358</c:v>
                </c:pt>
                <c:pt idx="3">
                  <c:v>127.323098507454</c:v>
                </c:pt>
                <c:pt idx="4">
                  <c:v>169.764131343272</c:v>
                </c:pt>
                <c:pt idx="5">
                  <c:v>212.205164179089</c:v>
                </c:pt>
                <c:pt idx="6">
                  <c:v>254.646197014907</c:v>
                </c:pt>
                <c:pt idx="7">
                  <c:v>297.087229850725</c:v>
                </c:pt>
                <c:pt idx="8">
                  <c:v>339.528262686543</c:v>
                </c:pt>
              </c:numCache>
            </c:numRef>
          </c:xVal>
          <c:yVal>
            <c:numRef>
              <c:f>'Getriebe- u. Zugkraftdiagramm'!$D$121:$L$121</c:f>
              <c:numCache>
                <c:formatCode>0</c:formatCode>
                <c:ptCount val="9"/>
                <c:pt idx="0">
                  <c:v>223.04016</c:v>
                </c:pt>
                <c:pt idx="1">
                  <c:v>285.308695382073</c:v>
                </c:pt>
                <c:pt idx="2">
                  <c:v>472.114301528292</c:v>
                </c:pt>
                <c:pt idx="3">
                  <c:v>783.456978438657</c:v>
                </c:pt>
                <c:pt idx="4">
                  <c:v>1219.33672611317</c:v>
                </c:pt>
                <c:pt idx="5">
                  <c:v>1779.75354455182</c:v>
                </c:pt>
                <c:pt idx="6">
                  <c:v>2464.70743375463</c:v>
                </c:pt>
                <c:pt idx="7">
                  <c:v>3274.19839372157</c:v>
                </c:pt>
                <c:pt idx="8">
                  <c:v>4208.22642445267</c:v>
                </c:pt>
              </c:numCache>
            </c:numRef>
          </c:yVal>
          <c:smooth val="1"/>
        </c:ser>
        <c:ser>
          <c:idx val="15"/>
          <c:order val="15"/>
          <c:tx>
            <c:strRef>
              <c:f>'Getriebe- u. Zugkraftdiagramm'!$C$120</c:f>
              <c:strCache>
                <c:ptCount val="1"/>
                <c:pt idx="0">
                  <c:v>-5 %</c:v>
                </c:pt>
              </c:strCache>
            </c:strRef>
          </c:tx>
          <c:spPr>
            <a:solidFill>
              <a:srgbClr val="969696"/>
            </a:solidFill>
            <a:ln w="0">
              <a:solidFill>
                <a:srgbClr val="969696"/>
              </a:solidFill>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Zugkraftdiagramm'!$D$110:$L$110</c:f>
              <c:numCache>
                <c:formatCode>0</c:formatCode>
                <c:ptCount val="9"/>
                <c:pt idx="0">
                  <c:v>127.323098507454</c:v>
                </c:pt>
                <c:pt idx="1">
                  <c:v>127.323098507454</c:v>
                </c:pt>
                <c:pt idx="2">
                  <c:v>127.323098507454</c:v>
                </c:pt>
                <c:pt idx="3">
                  <c:v>127.323098507454</c:v>
                </c:pt>
                <c:pt idx="4">
                  <c:v>169.764131343272</c:v>
                </c:pt>
                <c:pt idx="5">
                  <c:v>212.205164179089</c:v>
                </c:pt>
                <c:pt idx="6">
                  <c:v>254.646197014907</c:v>
                </c:pt>
                <c:pt idx="7">
                  <c:v>297.087229850725</c:v>
                </c:pt>
                <c:pt idx="8">
                  <c:v>339.528262686543</c:v>
                </c:pt>
              </c:numCache>
            </c:numRef>
          </c:xVal>
          <c:yVal>
            <c:numRef>
              <c:f>'Getriebe- u. Zugkraftdiagramm'!$D$120:$L$120</c:f>
              <c:numCache>
                <c:formatCode>0</c:formatCode>
                <c:ptCount val="9"/>
                <c:pt idx="0">
                  <c:v>87.0478203283182</c:v>
                </c:pt>
                <c:pt idx="1">
                  <c:v>87.0478203283182</c:v>
                </c:pt>
                <c:pt idx="2">
                  <c:v>87.0478203283182</c:v>
                </c:pt>
                <c:pt idx="3">
                  <c:v>87.0478203283182</c:v>
                </c:pt>
                <c:pt idx="4">
                  <c:v>522.927568002829</c:v>
                </c:pt>
                <c:pt idx="5">
                  <c:v>1083.34438644149</c:v>
                </c:pt>
                <c:pt idx="6">
                  <c:v>1768.29827564429</c:v>
                </c:pt>
                <c:pt idx="7">
                  <c:v>2577.78923561123</c:v>
                </c:pt>
                <c:pt idx="8">
                  <c:v>3511.81726634233</c:v>
                </c:pt>
              </c:numCache>
            </c:numRef>
          </c:yVal>
          <c:smooth val="1"/>
        </c:ser>
        <c:ser>
          <c:idx val="16"/>
          <c:order val="16"/>
          <c:tx>
            <c:strRef>
              <c:f>'Getriebe- u. Zugkraftdiagramm'!$C$119</c:f>
              <c:strCache>
                <c:ptCount val="1"/>
                <c:pt idx="0">
                  <c:v>-10 %</c:v>
                </c:pt>
              </c:strCache>
            </c:strRef>
          </c:tx>
          <c:spPr>
            <a:solidFill>
              <a:srgbClr val="969696"/>
            </a:solidFill>
            <a:ln w="0">
              <a:solidFill>
                <a:srgbClr val="969696"/>
              </a:solidFill>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'Getriebe- u. Zugkraftdiagramm'!$D$109:$L$109</c:f>
              <c:numCache>
                <c:formatCode>0</c:formatCode>
                <c:ptCount val="9"/>
                <c:pt idx="0">
                  <c:v>212.205164179089</c:v>
                </c:pt>
                <c:pt idx="1">
                  <c:v>212.205164179089</c:v>
                </c:pt>
                <c:pt idx="2">
                  <c:v>212.205164179089</c:v>
                </c:pt>
                <c:pt idx="3">
                  <c:v>212.205164179089</c:v>
                </c:pt>
                <c:pt idx="4">
                  <c:v>212.205164179089</c:v>
                </c:pt>
                <c:pt idx="5">
                  <c:v>212.205164179089</c:v>
                </c:pt>
                <c:pt idx="6">
                  <c:v>254.646197014907</c:v>
                </c:pt>
                <c:pt idx="7">
                  <c:v>297.087229850725</c:v>
                </c:pt>
                <c:pt idx="8">
                  <c:v>339.528262686543</c:v>
                </c:pt>
              </c:numCache>
            </c:numRef>
          </c:xVal>
          <c:yVal>
            <c:numRef>
              <c:f>'Getriebe- u. Zugkraftdiagramm'!$D$119:$L$119</c:f>
              <c:numCache>
                <c:formatCode>0</c:formatCode>
                <c:ptCount val="9"/>
                <c:pt idx="0">
                  <c:v>391.563800472295</c:v>
                </c:pt>
                <c:pt idx="1">
                  <c:v>391.563800472295</c:v>
                </c:pt>
                <c:pt idx="2">
                  <c:v>391.563800472295</c:v>
                </c:pt>
                <c:pt idx="3">
                  <c:v>391.563800472295</c:v>
                </c:pt>
                <c:pt idx="4">
                  <c:v>391.563800472295</c:v>
                </c:pt>
                <c:pt idx="5">
                  <c:v>391.563800472295</c:v>
                </c:pt>
                <c:pt idx="6">
                  <c:v>1076.5176896751</c:v>
                </c:pt>
                <c:pt idx="7">
                  <c:v>1886.00864964204</c:v>
                </c:pt>
                <c:pt idx="8">
                  <c:v>2820.03668037314</c:v>
                </c:pt>
              </c:numCache>
            </c:numRef>
          </c:yVal>
          <c:smooth val="1"/>
        </c:ser>
        <c:ser>
          <c:idx val="17"/>
          <c:order val="17"/>
          <c:tx>
            <c:strRef>
              <c:f>"Leistungshyperbel"</c:f>
              <c:strCache>
                <c:ptCount val="1"/>
                <c:pt idx="0">
                  <c:v>Leistungshyperbel</c:v>
                </c:pt>
              </c:strCache>
            </c:strRef>
          </c:tx>
          <c:spPr>
            <a:solidFill>
              <a:srgbClr val="00ff00"/>
            </a:solidFill>
            <a:ln w="126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'Getriebe- u. Zugkraftdiagramm'!$B$147:$K$147</c:f>
              <c:numCache>
                <c:formatCode>General</c:formatCode>
                <c:ptCount val="10"/>
                <c:pt idx="0">
                  <c:v>58.1363813183269</c:v>
                </c:pt>
                <c:pt idx="1">
                  <c:v>87.9511704332289</c:v>
                </c:pt>
                <c:pt idx="2">
                  <c:v>117.765959548131</c:v>
                </c:pt>
                <c:pt idx="3">
                  <c:v>147.580748663033</c:v>
                </c:pt>
                <c:pt idx="4">
                  <c:v>177.395537777935</c:v>
                </c:pt>
                <c:pt idx="5">
                  <c:v>207.210326892837</c:v>
                </c:pt>
                <c:pt idx="6">
                  <c:v>237.025116007739</c:v>
                </c:pt>
                <c:pt idx="7">
                  <c:v>266.839905122641</c:v>
                </c:pt>
                <c:pt idx="8">
                  <c:v>296.654694237543</c:v>
                </c:pt>
                <c:pt idx="9">
                  <c:v>326.469483352445</c:v>
                </c:pt>
              </c:numCache>
            </c:numRef>
          </c:xVal>
          <c:yVal>
            <c:numRef>
              <c:f>'Getriebe- u. Zugkraftdiagramm'!$B$148:$K$148</c:f>
              <c:numCache>
                <c:formatCode>General</c:formatCode>
                <c:ptCount val="10"/>
                <c:pt idx="0">
                  <c:v>15599.0513932128</c:v>
                </c:pt>
                <c:pt idx="1">
                  <c:v>10311.0896140772</c:v>
                </c:pt>
                <c:pt idx="2">
                  <c:v>7700.63270812446</c:v>
                </c:pt>
                <c:pt idx="3">
                  <c:v>6144.92342812704</c:v>
                </c:pt>
                <c:pt idx="4">
                  <c:v>5112.14888130517</c:v>
                </c:pt>
                <c:pt idx="5">
                  <c:v>4376.57916764451</c:v>
                </c:pt>
                <c:pt idx="6">
                  <c:v>3826.0603571243</c:v>
                </c:pt>
                <c:pt idx="7">
                  <c:v>3398.56364280746</c:v>
                </c:pt>
                <c:pt idx="8">
                  <c:v>3056.99662811953</c:v>
                </c:pt>
                <c:pt idx="9">
                  <c:v>2777.81675238837</c:v>
                </c:pt>
              </c:numCache>
            </c:numRef>
          </c:yVal>
          <c:smooth val="1"/>
        </c:ser>
        <c:axId val="42726109"/>
        <c:axId val="43448152"/>
      </c:scatterChart>
      <c:valAx>
        <c:axId val="42726109"/>
        <c:scaling>
          <c:orientation val="minMax"/>
          <c:max val="340"/>
          <c:min val="0"/>
        </c:scaling>
        <c:delete val="0"/>
        <c:axPos val="b"/>
        <c:majorGridlines>
          <c:spPr>
            <a:ln w="25200">
              <a:solidFill>
                <a:srgbClr val="000000"/>
              </a:solidFill>
              <a:round/>
            </a:ln>
          </c:spPr>
        </c:majorGridlines>
        <c:minorGridlines>
          <c:spPr>
            <a:ln w="0">
              <a:solidFill>
                <a:srgbClr val="000000"/>
              </a:solidFill>
            </a:ln>
          </c:spPr>
        </c:minorGridlines>
        <c:title>
          <c:tx>
            <c:rich>
              <a:bodyPr rot="0"/>
              <a:lstStyle/>
              <a:p>
                <a:pPr>
                  <a:defRPr b="0" sz="1300" strike="noStrike" u="none">
                    <a:uFillTx/>
                    <a:latin typeface="Arial"/>
                  </a:defRPr>
                </a:pPr>
                <a:r>
                  <a:rPr b="1" sz="1100" strike="noStrike" u="none">
                    <a:uFillTx/>
                    <a:latin typeface="Arial"/>
                  </a:rPr>
                  <a:t>v/</a:t>
                </a:r>
                <a:r>
                  <a:rPr b="0" sz="1000" strike="noStrike" u="none">
                    <a:uFillTx/>
                    <a:latin typeface="Arial"/>
                  </a:rPr>
                  <a:t>km/h</a:t>
                </a:r>
              </a:p>
            </c:rich>
          </c:tx>
          <c:layout>
            <c:manualLayout>
              <c:xMode val="edge"/>
              <c:yMode val="edge"/>
              <c:x val="0.873691808011548"/>
              <c:y val="0.950628040368838"/>
            </c:manualLayout>
          </c:layout>
          <c:overlay val="0"/>
          <c:spPr>
            <a:noFill/>
            <a:ln w="0">
              <a:noFill/>
            </a:ln>
          </c:spPr>
        </c:title>
        <c:numFmt formatCode="0" sourceLinked="1"/>
        <c:majorTickMark val="out"/>
        <c:minorTickMark val="none"/>
        <c:tickLblPos val="nextTo"/>
        <c:spPr>
          <a:ln w="25200">
            <a:solidFill>
              <a:srgbClr val="000000"/>
            </a:solidFill>
            <a:round/>
          </a:ln>
        </c:spPr>
        <c:txPr>
          <a:bodyPr/>
          <a:lstStyle/>
          <a:p>
            <a:pPr>
              <a:defRPr b="0" sz="1100" strike="noStrike" u="none">
                <a:solidFill>
                  <a:srgbClr val="000000"/>
                </a:solidFill>
                <a:uFillTx/>
                <a:latin typeface="Arial"/>
              </a:defRPr>
            </a:pPr>
          </a:p>
        </c:txPr>
        <c:crossAx val="43448152"/>
        <c:crossesAt val="0"/>
        <c:crossBetween val="midCat"/>
        <c:majorUnit val="20"/>
        <c:minorUnit val="5"/>
      </c:valAx>
      <c:valAx>
        <c:axId val="43448152"/>
        <c:scaling>
          <c:orientation val="minMax"/>
          <c:max val="16000"/>
          <c:min val="0"/>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200" strike="noStrike" u="none">
                    <a:uFillTx/>
                    <a:latin typeface="Arial"/>
                  </a:rPr>
                  <a:t>F/</a:t>
                </a:r>
                <a:r>
                  <a:rPr b="0" sz="1000" strike="noStrike" u="none">
                    <a:uFillTx/>
                    <a:latin typeface="Arial"/>
                  </a:rPr>
                  <a:t>N</a:t>
                </a:r>
              </a:p>
            </c:rich>
          </c:tx>
          <c:layout>
            <c:manualLayout>
              <c:xMode val="edge"/>
              <c:yMode val="edge"/>
              <c:x val="0.0314997164509976"/>
              <c:y val="0.00769621723662238"/>
            </c:manualLayout>
          </c:layout>
          <c:overlay val="0"/>
          <c:spPr>
            <a:noFill/>
            <a:ln w="0">
              <a:noFill/>
            </a:ln>
          </c:spPr>
        </c:title>
        <c:numFmt formatCode="0" sourceLinked="1"/>
        <c:majorTickMark val="out"/>
        <c:minorTickMark val="none"/>
        <c:tickLblPos val="nextTo"/>
        <c:spPr>
          <a:ln w="25200">
            <a:solidFill>
              <a:srgbClr val="000000"/>
            </a:solidFill>
            <a:round/>
          </a:ln>
        </c:spPr>
        <c:txPr>
          <a:bodyPr/>
          <a:lstStyle/>
          <a:p>
            <a:pPr>
              <a:defRPr b="0" sz="1100" strike="noStrike" u="none">
                <a:solidFill>
                  <a:srgbClr val="000000"/>
                </a:solidFill>
                <a:uFillTx/>
                <a:latin typeface="Arial"/>
              </a:defRPr>
            </a:pPr>
          </a:p>
        </c:txPr>
        <c:crossAx val="42726109"/>
        <c:crossesAt val="0"/>
        <c:crossBetween val="midCat"/>
        <c:majorUnit val="1000"/>
        <c:minorUnit val="500"/>
      </c:valAx>
      <c:spPr>
        <a:solidFill>
          <a:srgbClr val="ffffff"/>
        </a:solidFill>
        <a:ln w="12600">
          <a:solidFill>
            <a:srgbClr val="000000"/>
          </a:solidFill>
          <a:round/>
        </a:ln>
      </c:spPr>
    </c:plotArea>
    <c:plotVisOnly val="1"/>
    <c:dispBlanksAs val="gap"/>
  </c:chart>
  <c:spPr>
    <a:noFill/>
    <a:ln w="1260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_rels/drawing2.xml.rels><?xml version="1.0" encoding="UTF-8"?>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623880</xdr:colOff>
      <xdr:row>7</xdr:row>
      <xdr:rowOff>28800</xdr:rowOff>
    </xdr:from>
    <xdr:to>
      <xdr:col>11</xdr:col>
      <xdr:colOff>91080</xdr:colOff>
      <xdr:row>26</xdr:row>
      <xdr:rowOff>57600</xdr:rowOff>
    </xdr:to>
    <xdr:graphicFrame>
      <xdr:nvGraphicFramePr>
        <xdr:cNvPr id="0" name="Chart 42"/>
        <xdr:cNvGraphicFramePr/>
      </xdr:nvGraphicFramePr>
      <xdr:xfrm>
        <a:off x="623880" y="1760400"/>
        <a:ext cx="5550480" cy="4155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70560</xdr:colOff>
      <xdr:row>26</xdr:row>
      <xdr:rowOff>56880</xdr:rowOff>
    </xdr:from>
    <xdr:to>
      <xdr:col>13</xdr:col>
      <xdr:colOff>493560</xdr:colOff>
      <xdr:row>50</xdr:row>
      <xdr:rowOff>133200</xdr:rowOff>
    </xdr:to>
    <xdr:graphicFrame>
      <xdr:nvGraphicFramePr>
        <xdr:cNvPr id="1" name="Chart 6"/>
        <xdr:cNvGraphicFramePr/>
      </xdr:nvGraphicFramePr>
      <xdr:xfrm>
        <a:off x="70560" y="6810840"/>
        <a:ext cx="7163640" cy="3962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8</xdr:row>
      <xdr:rowOff>61560</xdr:rowOff>
    </xdr:from>
    <xdr:to>
      <xdr:col>13</xdr:col>
      <xdr:colOff>241920</xdr:colOff>
      <xdr:row>26</xdr:row>
      <xdr:rowOff>61200</xdr:rowOff>
    </xdr:to>
    <xdr:graphicFrame>
      <xdr:nvGraphicFramePr>
        <xdr:cNvPr id="2" name="Chart 4"/>
        <xdr:cNvGraphicFramePr/>
      </xdr:nvGraphicFramePr>
      <xdr:xfrm>
        <a:off x="0" y="1857240"/>
        <a:ext cx="6982560" cy="49579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2"/>
  <sheetViews>
    <sheetView showFormulas="false" showGridLines="false" showRowColHeaders="true" showZeros="true" rightToLeft="false" tabSelected="false" showOutlineSymbols="false" defaultGridColor="true" view="normal" topLeftCell="A1" colorId="64" zoomScale="100" zoomScaleNormal="100" zoomScalePageLayoutView="100" workbookViewId="0">
      <selection pane="topLeft" activeCell="A7" activeCellId="0" sqref="A7"/>
    </sheetView>
  </sheetViews>
  <sheetFormatPr defaultColWidth="11.41796875" defaultRowHeight="12.75" zeroHeight="false" outlineLevelRow="0" outlineLevelCol="0"/>
  <cols>
    <col collapsed="false" customWidth="true" hidden="false" outlineLevel="0" max="1" min="1" style="1" width="9.28"/>
    <col collapsed="false" customWidth="true" hidden="false" outlineLevel="0" max="2" min="2" style="1" width="7.7"/>
    <col collapsed="false" customWidth="true" hidden="false" outlineLevel="0" max="12" min="3" style="2" width="7.7"/>
    <col collapsed="false" customWidth="true" hidden="false" outlineLevel="0" max="13" min="13" style="2" width="6.28"/>
    <col collapsed="false" customWidth="true" hidden="false" outlineLevel="0" max="24" min="14" style="2" width="4.99"/>
    <col collapsed="false" customWidth="true" hidden="false" outlineLevel="0" max="26" min="25" style="2" width="3.56"/>
    <col collapsed="false" customWidth="false" hidden="false" outlineLevel="0" max="257" min="27" style="2" width="11.42"/>
  </cols>
  <sheetData>
    <row r="1" customFormat="false" ht="17.1" hidden="false" customHeight="true" outlineLevel="0" collapsed="false">
      <c r="A1" s="3" t="s">
        <v>0</v>
      </c>
      <c r="B1" s="3"/>
      <c r="C1" s="4" t="n">
        <v>1000</v>
      </c>
      <c r="D1" s="5" t="n">
        <v>2000</v>
      </c>
      <c r="E1" s="4" t="n">
        <v>3000</v>
      </c>
      <c r="F1" s="4" t="n">
        <v>4000</v>
      </c>
      <c r="G1" s="4" t="n">
        <v>4900</v>
      </c>
      <c r="H1" s="4" t="n">
        <v>6000</v>
      </c>
      <c r="I1" s="4" t="n">
        <v>7000</v>
      </c>
      <c r="J1" s="4" t="n">
        <v>7900</v>
      </c>
      <c r="K1" s="4" t="n">
        <v>8000</v>
      </c>
      <c r="L1" s="4"/>
      <c r="M1" s="6"/>
    </row>
    <row r="2" customFormat="false" ht="17.1" hidden="false" customHeight="true" outlineLevel="0" collapsed="false">
      <c r="A2" s="7" t="s">
        <v>1</v>
      </c>
      <c r="B2" s="7"/>
      <c r="C2" s="8" t="n">
        <v>248.3</v>
      </c>
      <c r="D2" s="9" t="n">
        <v>290</v>
      </c>
      <c r="E2" s="8" t="n">
        <v>325</v>
      </c>
      <c r="F2" s="8" t="n">
        <v>355</v>
      </c>
      <c r="G2" s="8" t="n">
        <v>370</v>
      </c>
      <c r="H2" s="8" t="n">
        <v>360</v>
      </c>
      <c r="I2" s="8" t="n">
        <v>345</v>
      </c>
      <c r="J2" s="8" t="n">
        <v>320.348101265823</v>
      </c>
      <c r="K2" s="8" t="n">
        <v>315.15</v>
      </c>
      <c r="L2" s="8"/>
      <c r="M2" s="10"/>
      <c r="N2" s="11"/>
    </row>
    <row r="3" customFormat="false" ht="17.1" hidden="false" customHeight="true" outlineLevel="0" collapsed="false">
      <c r="A3" s="7" t="s">
        <v>2</v>
      </c>
      <c r="B3" s="7"/>
      <c r="C3" s="12"/>
      <c r="D3" s="12"/>
      <c r="E3" s="12"/>
      <c r="F3" s="12"/>
      <c r="G3" s="12"/>
      <c r="H3" s="12"/>
      <c r="I3" s="12"/>
      <c r="J3" s="12"/>
      <c r="K3" s="12"/>
      <c r="L3" s="12"/>
      <c r="M3" s="13"/>
      <c r="N3" s="11"/>
    </row>
    <row r="4" customFormat="false" ht="17.1" hidden="false" customHeight="true" outlineLevel="0" collapsed="false">
      <c r="A4" s="7" t="s">
        <v>3</v>
      </c>
      <c r="B4" s="7"/>
      <c r="C4" s="14" t="n">
        <f aca="false">IF(C1="","",IF(C2="",C3/C1*9550,C2))</f>
        <v>248.3</v>
      </c>
      <c r="D4" s="14" t="n">
        <f aca="false">IF(D1="",C4,IF(D2="",D3/D1*9550,D2))</f>
        <v>290</v>
      </c>
      <c r="E4" s="14" t="n">
        <f aca="false">IF(E1="",D4,IF(E2="",E3/E1*9550,E2))</f>
        <v>325</v>
      </c>
      <c r="F4" s="14" t="n">
        <f aca="false">IF(F1="",E4,IF(F2="",F3/F1*9550,F2))</f>
        <v>355</v>
      </c>
      <c r="G4" s="14" t="n">
        <f aca="false">IF(G1="",F4,IF(G2="",G3/G1*9550,G2))</f>
        <v>370</v>
      </c>
      <c r="H4" s="14" t="n">
        <f aca="false">IF(H1="",G4,IF(H2="",H3/H1*9550,H2))</f>
        <v>360</v>
      </c>
      <c r="I4" s="14" t="n">
        <f aca="false">IF(I1="",H4,IF(I2="",I3/I1*9550,I2))</f>
        <v>345</v>
      </c>
      <c r="J4" s="14" t="n">
        <f aca="false">IF(J1="",I4,IF(J2="",J3/J1*9550,J2))</f>
        <v>320.348101265823</v>
      </c>
      <c r="K4" s="14" t="n">
        <f aca="false">IF(K1="",J4,IF(K2="",K3/K1*9550,K2))</f>
        <v>315.15</v>
      </c>
      <c r="L4" s="14" t="n">
        <f aca="false">IF(L1="",K4,IF(L2="",L3/L1*9550,L2))</f>
        <v>315.15</v>
      </c>
      <c r="M4" s="15" t="n">
        <f aca="false">IF(M1="",L4,IF(M2="",M3/M1*9550,M2))</f>
        <v>315.15</v>
      </c>
      <c r="N4" s="16"/>
    </row>
    <row r="5" customFormat="false" ht="17.1" hidden="false" customHeight="true" outlineLevel="0" collapsed="false">
      <c r="A5" s="7" t="s">
        <v>4</v>
      </c>
      <c r="B5" s="7"/>
      <c r="C5" s="14" t="n">
        <f aca="false">IF(C1="","",IF(C3="",C4*C1/9550,C3))</f>
        <v>26</v>
      </c>
      <c r="D5" s="14" t="n">
        <f aca="false">IF(D1="",C5,IF(D3="",D4*D1/9550,D3))</f>
        <v>60.7329842931937</v>
      </c>
      <c r="E5" s="14" t="n">
        <f aca="false">IF(E1="",D5,IF(E3="",E4*E1/9550,E3))</f>
        <v>102.094240837696</v>
      </c>
      <c r="F5" s="14" t="n">
        <f aca="false">IF(F1="",E5,IF(F3="",F4*F1/9550,F3))</f>
        <v>148.69109947644</v>
      </c>
      <c r="G5" s="14" t="n">
        <f aca="false">IF(G1="",F5,IF(G3="",G4*G1/9550,G3))</f>
        <v>189.842931937173</v>
      </c>
      <c r="H5" s="14" t="n">
        <f aca="false">IF(H1="",G5,IF(H3="",H4*H1/9550,H3))</f>
        <v>226.178010471204</v>
      </c>
      <c r="I5" s="14" t="n">
        <f aca="false">IF(I1="",H5,IF(I3="",I4*I1/9550,I3))</f>
        <v>252.879581151832</v>
      </c>
      <c r="J5" s="14" t="n">
        <f aca="false">IF(J1="",I5,IF(J3="",J4*J1/9550,J3))</f>
        <v>265</v>
      </c>
      <c r="K5" s="14" t="n">
        <f aca="false">IF(K1="",J5,IF(K3="",K4*K1/9550,K3))</f>
        <v>264</v>
      </c>
      <c r="L5" s="14" t="n">
        <f aca="false">IF(L1="",K5,IF(L3="",L4*L1/9550,L3))</f>
        <v>264</v>
      </c>
      <c r="M5" s="15" t="n">
        <f aca="false">IF(M1="",L5,IF(M3="",M4*M1/9550,M3))</f>
        <v>264</v>
      </c>
      <c r="N5" s="16"/>
    </row>
    <row r="6" customFormat="false" ht="17.1" hidden="false" customHeight="true" outlineLevel="0" collapsed="false">
      <c r="A6" s="7" t="s">
        <v>5</v>
      </c>
      <c r="B6" s="7"/>
      <c r="C6" s="17" t="n">
        <f aca="false">C5*1.36</f>
        <v>35.36</v>
      </c>
      <c r="D6" s="17" t="n">
        <f aca="false">D5*1.36</f>
        <v>82.5968586387435</v>
      </c>
      <c r="E6" s="17" t="n">
        <f aca="false">E5*1.36</f>
        <v>138.848167539267</v>
      </c>
      <c r="F6" s="17" t="n">
        <f aca="false">F5*1.36</f>
        <v>202.219895287958</v>
      </c>
      <c r="G6" s="17" t="n">
        <f aca="false">G5*1.36</f>
        <v>258.186387434555</v>
      </c>
      <c r="H6" s="17" t="n">
        <f aca="false">H5*1.36</f>
        <v>307.602094240838</v>
      </c>
      <c r="I6" s="17" t="n">
        <f aca="false">I5*1.36</f>
        <v>343.916230366492</v>
      </c>
      <c r="J6" s="17" t="n">
        <f aca="false">J5*1.36</f>
        <v>360.4</v>
      </c>
      <c r="K6" s="17" t="n">
        <f aca="false">K5*1.36</f>
        <v>359.04</v>
      </c>
      <c r="L6" s="17" t="n">
        <f aca="false">L5*1.36</f>
        <v>359.04</v>
      </c>
      <c r="M6" s="18" t="n">
        <f aca="false">M5*1.36</f>
        <v>359.04</v>
      </c>
      <c r="N6" s="16"/>
    </row>
    <row r="7" customFormat="false" ht="33.75" hidden="false" customHeight="true" outlineLevel="0" collapsed="false">
      <c r="A7" s="19" t="s">
        <v>6</v>
      </c>
      <c r="B7" s="19"/>
      <c r="C7" s="19"/>
      <c r="D7" s="19"/>
      <c r="E7" s="19"/>
      <c r="F7" s="19"/>
      <c r="G7" s="19"/>
      <c r="H7" s="19"/>
      <c r="I7" s="19"/>
      <c r="J7" s="19"/>
      <c r="K7" s="19"/>
      <c r="L7" s="19"/>
      <c r="M7" s="19"/>
    </row>
    <row r="8" customFormat="false" ht="17.1" hidden="false" customHeight="true" outlineLevel="0" collapsed="false">
      <c r="A8" s="20"/>
      <c r="B8" s="20"/>
      <c r="C8" s="21"/>
      <c r="D8" s="22"/>
      <c r="E8" s="22"/>
      <c r="F8" s="22"/>
      <c r="G8" s="22"/>
      <c r="H8" s="22"/>
      <c r="I8" s="22"/>
      <c r="J8" s="22"/>
      <c r="K8" s="22"/>
      <c r="L8" s="22"/>
      <c r="M8" s="22"/>
    </row>
    <row r="9" customFormat="false" ht="17.1" hidden="false" customHeight="true" outlineLevel="0" collapsed="false">
      <c r="A9" s="20"/>
      <c r="B9" s="20"/>
      <c r="C9" s="21"/>
      <c r="D9" s="22"/>
      <c r="E9" s="22"/>
      <c r="F9" s="22"/>
      <c r="G9" s="22"/>
      <c r="H9" s="22"/>
      <c r="I9" s="22"/>
      <c r="J9" s="22"/>
      <c r="K9" s="22"/>
      <c r="L9" s="22"/>
      <c r="M9" s="22"/>
      <c r="Y9" s="23"/>
      <c r="Z9" s="23"/>
    </row>
    <row r="10" customFormat="false" ht="17.1" hidden="false" customHeight="true" outlineLevel="0" collapsed="false">
      <c r="A10" s="20"/>
      <c r="B10" s="20"/>
      <c r="C10" s="21"/>
      <c r="D10" s="22"/>
      <c r="E10" s="22"/>
      <c r="F10" s="22"/>
      <c r="G10" s="22"/>
      <c r="H10" s="22"/>
      <c r="I10" s="22"/>
      <c r="J10" s="22"/>
      <c r="K10" s="22"/>
      <c r="L10" s="22"/>
      <c r="M10" s="22"/>
      <c r="N10" s="24"/>
      <c r="O10" s="24"/>
      <c r="P10" s="24"/>
      <c r="Q10" s="24"/>
      <c r="R10" s="24"/>
      <c r="S10" s="24"/>
      <c r="T10" s="24"/>
      <c r="U10" s="24"/>
      <c r="V10" s="24"/>
      <c r="W10" s="24"/>
      <c r="X10" s="24"/>
      <c r="Y10" s="24"/>
      <c r="Z10" s="24"/>
    </row>
    <row r="11" customFormat="false" ht="17.1" hidden="false" customHeight="true" outlineLevel="0" collapsed="false">
      <c r="A11" s="20"/>
      <c r="B11" s="20"/>
      <c r="C11" s="21"/>
      <c r="D11" s="22"/>
      <c r="E11" s="22"/>
      <c r="F11" s="22"/>
      <c r="G11" s="22"/>
      <c r="H11" s="22"/>
      <c r="I11" s="22"/>
      <c r="J11" s="22"/>
      <c r="K11" s="22"/>
      <c r="L11" s="22"/>
      <c r="M11" s="22"/>
      <c r="N11" s="23"/>
      <c r="O11" s="23"/>
      <c r="P11" s="23"/>
      <c r="Q11" s="23"/>
      <c r="R11" s="23"/>
      <c r="S11" s="23"/>
      <c r="T11" s="23"/>
      <c r="U11" s="23"/>
      <c r="V11" s="23"/>
      <c r="W11" s="23"/>
      <c r="X11" s="23"/>
    </row>
    <row r="12" customFormat="false" ht="17.1" hidden="false" customHeight="true" outlineLevel="0" collapsed="false">
      <c r="A12" s="20"/>
      <c r="B12" s="20"/>
      <c r="C12" s="21"/>
      <c r="D12" s="22"/>
      <c r="E12" s="22"/>
      <c r="F12" s="22"/>
      <c r="G12" s="22"/>
      <c r="H12" s="22"/>
      <c r="I12" s="22"/>
      <c r="J12" s="22"/>
      <c r="K12" s="22"/>
      <c r="L12" s="22"/>
      <c r="M12" s="22"/>
    </row>
    <row r="13" customFormat="false" ht="17.1" hidden="false" customHeight="true" outlineLevel="0" collapsed="false">
      <c r="A13" s="20"/>
      <c r="B13" s="20"/>
      <c r="C13" s="21"/>
      <c r="D13" s="22"/>
      <c r="E13" s="22"/>
      <c r="F13" s="22"/>
      <c r="G13" s="22"/>
      <c r="H13" s="22"/>
      <c r="I13" s="22"/>
      <c r="J13" s="22"/>
      <c r="K13" s="22"/>
      <c r="L13" s="22"/>
      <c r="M13" s="22"/>
    </row>
    <row r="14" customFormat="false" ht="17.1" hidden="false" customHeight="true" outlineLevel="0" collapsed="false">
      <c r="A14" s="20"/>
      <c r="B14" s="20"/>
      <c r="C14" s="21"/>
      <c r="D14" s="22"/>
      <c r="E14" s="22"/>
      <c r="F14" s="22"/>
      <c r="G14" s="22"/>
      <c r="H14" s="22"/>
      <c r="I14" s="22"/>
      <c r="J14" s="22"/>
      <c r="K14" s="22"/>
      <c r="L14" s="22"/>
      <c r="M14" s="22"/>
    </row>
    <row r="15" customFormat="false" ht="17.1" hidden="false" customHeight="true" outlineLevel="0" collapsed="false">
      <c r="A15" s="20"/>
      <c r="B15" s="20"/>
      <c r="C15" s="21"/>
      <c r="D15" s="22"/>
      <c r="E15" s="22"/>
      <c r="F15" s="22"/>
      <c r="G15" s="22"/>
      <c r="H15" s="22"/>
      <c r="I15" s="22"/>
      <c r="J15" s="22"/>
      <c r="K15" s="22"/>
      <c r="L15" s="22"/>
      <c r="M15" s="22"/>
    </row>
    <row r="16" customFormat="false" ht="17.1" hidden="false" customHeight="true" outlineLevel="0" collapsed="false">
      <c r="A16" s="20"/>
      <c r="B16" s="20"/>
      <c r="C16" s="21"/>
      <c r="D16" s="22"/>
      <c r="E16" s="22"/>
      <c r="F16" s="22"/>
      <c r="G16" s="22"/>
      <c r="H16" s="22"/>
      <c r="I16" s="22"/>
      <c r="J16" s="22"/>
      <c r="K16" s="22"/>
      <c r="L16" s="22"/>
      <c r="M16" s="22"/>
    </row>
    <row r="17" customFormat="false" ht="17.1" hidden="false" customHeight="true" outlineLevel="0" collapsed="false">
      <c r="A17" s="20"/>
      <c r="B17" s="20"/>
      <c r="C17" s="21"/>
      <c r="D17" s="22"/>
      <c r="E17" s="22"/>
      <c r="F17" s="22"/>
      <c r="G17" s="22"/>
      <c r="H17" s="22"/>
      <c r="I17" s="22"/>
      <c r="J17" s="22"/>
      <c r="K17" s="22"/>
      <c r="L17" s="22"/>
      <c r="M17" s="22"/>
    </row>
    <row r="18" customFormat="false" ht="17.1" hidden="false" customHeight="true" outlineLevel="0" collapsed="false">
      <c r="A18" s="20"/>
      <c r="B18" s="20"/>
      <c r="C18" s="21"/>
      <c r="D18" s="22"/>
      <c r="E18" s="22"/>
      <c r="F18" s="22"/>
      <c r="G18" s="22"/>
      <c r="H18" s="22"/>
      <c r="I18" s="22"/>
      <c r="J18" s="22"/>
      <c r="K18" s="22"/>
      <c r="L18" s="22"/>
      <c r="M18" s="22"/>
    </row>
    <row r="19" customFormat="false" ht="17.1" hidden="false" customHeight="true" outlineLevel="0" collapsed="false">
      <c r="A19" s="20"/>
      <c r="B19" s="20"/>
      <c r="C19" s="21"/>
      <c r="D19" s="22"/>
      <c r="E19" s="22"/>
      <c r="F19" s="22"/>
      <c r="G19" s="22"/>
      <c r="H19" s="22"/>
      <c r="I19" s="22"/>
      <c r="J19" s="22"/>
      <c r="K19" s="22"/>
      <c r="L19" s="22"/>
      <c r="M19" s="22"/>
    </row>
    <row r="20" customFormat="false" ht="17.1" hidden="false" customHeight="true" outlineLevel="0" collapsed="false">
      <c r="A20" s="20"/>
      <c r="B20" s="20"/>
      <c r="C20" s="21"/>
      <c r="D20" s="22"/>
      <c r="E20" s="22"/>
      <c r="F20" s="22"/>
      <c r="G20" s="22"/>
      <c r="H20" s="22"/>
      <c r="I20" s="22"/>
      <c r="J20" s="22"/>
      <c r="K20" s="22"/>
      <c r="L20" s="22"/>
      <c r="M20" s="22"/>
    </row>
    <row r="21" customFormat="false" ht="17.1" hidden="false" customHeight="true" outlineLevel="0" collapsed="false">
      <c r="A21" s="20"/>
      <c r="B21" s="20"/>
      <c r="C21" s="21"/>
      <c r="D21" s="22"/>
      <c r="E21" s="22"/>
      <c r="F21" s="22"/>
      <c r="G21" s="22"/>
      <c r="H21" s="22"/>
      <c r="I21" s="22"/>
      <c r="J21" s="22"/>
      <c r="K21" s="22"/>
      <c r="L21" s="22"/>
      <c r="M21" s="22"/>
    </row>
    <row r="22" customFormat="false" ht="17.1" hidden="false" customHeight="true" outlineLevel="0" collapsed="false">
      <c r="A22" s="20"/>
      <c r="B22" s="20"/>
      <c r="C22" s="21"/>
      <c r="D22" s="22"/>
      <c r="E22" s="22"/>
      <c r="F22" s="22"/>
      <c r="G22" s="22"/>
      <c r="H22" s="22"/>
      <c r="I22" s="22"/>
      <c r="J22" s="22"/>
      <c r="K22" s="22"/>
      <c r="L22" s="22"/>
      <c r="M22" s="22"/>
    </row>
    <row r="23" customFormat="false" ht="17.1" hidden="false" customHeight="true" outlineLevel="0" collapsed="false">
      <c r="A23" s="20"/>
      <c r="B23" s="20"/>
      <c r="C23" s="21"/>
      <c r="D23" s="22"/>
      <c r="E23" s="22"/>
      <c r="F23" s="22"/>
      <c r="G23" s="22"/>
      <c r="H23" s="22"/>
      <c r="I23" s="22"/>
      <c r="J23" s="22"/>
      <c r="K23" s="22"/>
      <c r="L23" s="22"/>
      <c r="M23" s="22"/>
    </row>
    <row r="24" customFormat="false" ht="17.1" hidden="false" customHeight="true" outlineLevel="0" collapsed="false">
      <c r="A24" s="20"/>
      <c r="B24" s="20"/>
      <c r="C24" s="21"/>
      <c r="D24" s="22"/>
      <c r="E24" s="22"/>
      <c r="F24" s="22"/>
      <c r="G24" s="22"/>
      <c r="H24" s="22"/>
      <c r="I24" s="22"/>
      <c r="J24" s="22"/>
      <c r="K24" s="22"/>
      <c r="L24" s="22"/>
      <c r="M24" s="22"/>
    </row>
    <row r="25" customFormat="false" ht="17.1" hidden="false" customHeight="true" outlineLevel="0" collapsed="false">
      <c r="A25" s="20"/>
      <c r="B25" s="20"/>
      <c r="C25" s="21"/>
      <c r="D25" s="22"/>
      <c r="E25" s="22"/>
      <c r="F25" s="22"/>
      <c r="G25" s="22"/>
      <c r="H25" s="22"/>
      <c r="I25" s="22"/>
      <c r="J25" s="22"/>
      <c r="K25" s="22"/>
      <c r="L25" s="22"/>
      <c r="M25" s="22"/>
    </row>
    <row r="26" customFormat="false" ht="17.1" hidden="false" customHeight="true" outlineLevel="0" collapsed="false">
      <c r="A26" s="20"/>
      <c r="B26" s="20"/>
      <c r="C26" s="21"/>
      <c r="D26" s="22"/>
      <c r="E26" s="22"/>
      <c r="F26" s="22"/>
      <c r="G26" s="22"/>
      <c r="H26" s="22"/>
      <c r="I26" s="22"/>
      <c r="J26" s="22"/>
      <c r="K26" s="22"/>
      <c r="L26" s="22"/>
      <c r="M26" s="22"/>
    </row>
    <row r="27" customFormat="false" ht="17.1" hidden="false" customHeight="true" outlineLevel="0" collapsed="false">
      <c r="A27" s="20"/>
      <c r="B27" s="20"/>
      <c r="C27" s="21"/>
      <c r="D27" s="22"/>
      <c r="E27" s="22"/>
      <c r="F27" s="22"/>
      <c r="G27" s="22"/>
      <c r="H27" s="22"/>
      <c r="I27" s="22"/>
      <c r="J27" s="22"/>
      <c r="K27" s="22"/>
      <c r="L27" s="22"/>
      <c r="M27" s="22"/>
    </row>
    <row r="28" customFormat="false" ht="17.1" hidden="false" customHeight="true" outlineLevel="0" collapsed="false">
      <c r="A28" s="25" t="str">
        <f aca="false">A1</f>
        <v>n/min-1</v>
      </c>
      <c r="B28" s="26" t="n">
        <f aca="false">IF(C1="","",C1)</f>
        <v>1000</v>
      </c>
      <c r="C28" s="27" t="n">
        <f aca="false">IF(D1="","",D1)</f>
        <v>2000</v>
      </c>
      <c r="D28" s="27" t="n">
        <f aca="false">IF(E1="","",E1)</f>
        <v>3000</v>
      </c>
      <c r="E28" s="27" t="n">
        <f aca="false">IF(F1="","",F1)</f>
        <v>4000</v>
      </c>
      <c r="F28" s="27" t="n">
        <f aca="false">IF(G1="","",G1)</f>
        <v>4900</v>
      </c>
      <c r="G28" s="27" t="n">
        <f aca="false">IF(H1="","",H1)</f>
        <v>6000</v>
      </c>
      <c r="H28" s="27" t="n">
        <f aca="false">IF(I1="","",I1)</f>
        <v>7000</v>
      </c>
      <c r="I28" s="27" t="n">
        <f aca="false">IF(J1="","",J1)</f>
        <v>7900</v>
      </c>
      <c r="J28" s="27" t="n">
        <f aca="false">IF(K1="","",K1)</f>
        <v>8000</v>
      </c>
      <c r="K28" s="27" t="str">
        <f aca="false">IF(L1="","",L1)</f>
        <v/>
      </c>
      <c r="L28" s="28" t="str">
        <f aca="false">IF(M1="","",M1)</f>
        <v/>
      </c>
      <c r="M28" s="22"/>
    </row>
    <row r="29" customFormat="false" ht="17.1" hidden="false" customHeight="true" outlineLevel="0" collapsed="false">
      <c r="A29" s="29" t="s">
        <v>7</v>
      </c>
      <c r="B29" s="30" t="n">
        <f aca="false">IF(B28="","",C4)</f>
        <v>248.3</v>
      </c>
      <c r="C29" s="31" t="n">
        <f aca="false">IF(C28="","",D4)</f>
        <v>290</v>
      </c>
      <c r="D29" s="31" t="n">
        <f aca="false">IF(D28="","",E4)</f>
        <v>325</v>
      </c>
      <c r="E29" s="31" t="n">
        <f aca="false">IF(E28="","",F4)</f>
        <v>355</v>
      </c>
      <c r="F29" s="31" t="n">
        <f aca="false">IF(F28="","",G4)</f>
        <v>370</v>
      </c>
      <c r="G29" s="31" t="n">
        <f aca="false">IF(G28="","",H4)</f>
        <v>360</v>
      </c>
      <c r="H29" s="31" t="n">
        <f aca="false">IF(H28="","",I4)</f>
        <v>345</v>
      </c>
      <c r="I29" s="31" t="n">
        <f aca="false">IF(I28="","",J4)</f>
        <v>320.348101265823</v>
      </c>
      <c r="J29" s="31" t="n">
        <f aca="false">IF(J28="","",K4)</f>
        <v>315.15</v>
      </c>
      <c r="K29" s="31" t="str">
        <f aca="false">IF(K28="","",L4)</f>
        <v/>
      </c>
      <c r="L29" s="32" t="str">
        <f aca="false">IF(L28="","",M4)</f>
        <v/>
      </c>
      <c r="M29" s="22"/>
    </row>
    <row r="30" customFormat="false" ht="17.1" hidden="false" customHeight="true" outlineLevel="0" collapsed="false">
      <c r="A30" s="33" t="s">
        <v>2</v>
      </c>
      <c r="B30" s="34" t="n">
        <f aca="false">IF(B29="","",C5)</f>
        <v>26</v>
      </c>
      <c r="C30" s="35" t="n">
        <f aca="false">IF(C29="","",D5)</f>
        <v>60.7329842931937</v>
      </c>
      <c r="D30" s="35" t="n">
        <f aca="false">IF(D29="","",E5)</f>
        <v>102.094240837696</v>
      </c>
      <c r="E30" s="35" t="n">
        <f aca="false">IF(E29="","",F5)</f>
        <v>148.69109947644</v>
      </c>
      <c r="F30" s="35" t="n">
        <f aca="false">IF(F29="","",G5)</f>
        <v>189.842931937173</v>
      </c>
      <c r="G30" s="35" t="n">
        <f aca="false">IF(G29="","",H5)</f>
        <v>226.178010471204</v>
      </c>
      <c r="H30" s="35" t="n">
        <f aca="false">IF(H29="","",I5)</f>
        <v>252.879581151832</v>
      </c>
      <c r="I30" s="35" t="n">
        <f aca="false">IF(I29="","",J5)</f>
        <v>265</v>
      </c>
      <c r="J30" s="35" t="n">
        <f aca="false">IF(J29="","",K5)</f>
        <v>264</v>
      </c>
      <c r="K30" s="35" t="str">
        <f aca="false">IF(K29="","",L5)</f>
        <v/>
      </c>
      <c r="L30" s="36" t="str">
        <f aca="false">IF(L29="","",M5)</f>
        <v/>
      </c>
      <c r="M30" s="22"/>
    </row>
    <row r="31" customFormat="false" ht="17.1" hidden="false" customHeight="true" outlineLevel="0" collapsed="false">
      <c r="A31" s="37" t="s">
        <v>8</v>
      </c>
      <c r="B31" s="38" t="n">
        <f aca="false">IF(B30="","",C6)</f>
        <v>35.36</v>
      </c>
      <c r="C31" s="39" t="n">
        <f aca="false">IF(C30="","",D6)</f>
        <v>82.5968586387435</v>
      </c>
      <c r="D31" s="39" t="n">
        <f aca="false">IF(D30="","",E6)</f>
        <v>138.848167539267</v>
      </c>
      <c r="E31" s="39" t="n">
        <f aca="false">IF(E30="","",F6)</f>
        <v>202.219895287958</v>
      </c>
      <c r="F31" s="39" t="n">
        <f aca="false">IF(F30="","",G6)</f>
        <v>258.186387434555</v>
      </c>
      <c r="G31" s="39" t="n">
        <f aca="false">IF(G30="","",H6)</f>
        <v>307.602094240838</v>
      </c>
      <c r="H31" s="39" t="n">
        <f aca="false">IF(H30="","",I6)</f>
        <v>343.916230366492</v>
      </c>
      <c r="I31" s="39" t="n">
        <f aca="false">IF(I30="","",J6)</f>
        <v>360.4</v>
      </c>
      <c r="J31" s="39" t="n">
        <f aca="false">IF(J30="","",K6)</f>
        <v>359.04</v>
      </c>
      <c r="K31" s="39" t="str">
        <f aca="false">IF(K30="","",L6)</f>
        <v/>
      </c>
      <c r="L31" s="40" t="str">
        <f aca="false">IF(L30="","",M6)</f>
        <v/>
      </c>
      <c r="M31" s="22"/>
    </row>
    <row r="32" customFormat="false" ht="17.1" hidden="false" customHeight="true" outlineLevel="0" collapsed="false">
      <c r="A32" s="20"/>
      <c r="B32" s="20"/>
      <c r="C32" s="21"/>
      <c r="D32" s="22"/>
      <c r="E32" s="22"/>
      <c r="F32" s="22"/>
      <c r="G32" s="22"/>
      <c r="H32" s="22"/>
      <c r="I32" s="22"/>
      <c r="J32" s="22"/>
      <c r="K32" s="22"/>
      <c r="L32" s="22"/>
      <c r="M32" s="22"/>
    </row>
  </sheetData>
  <mergeCells count="8">
    <mergeCell ref="A1:B1"/>
    <mergeCell ref="A2:B2"/>
    <mergeCell ref="N2:N3"/>
    <mergeCell ref="A3:B3"/>
    <mergeCell ref="A4:B4"/>
    <mergeCell ref="A5:B5"/>
    <mergeCell ref="A6:B6"/>
    <mergeCell ref="A7:L7"/>
  </mergeCells>
  <printOptions headings="false" gridLines="false" gridLinesSet="true" horizontalCentered="false" verticalCentered="false"/>
  <pageMargins left="0.747916666666667" right="0.620138888888889" top="0.984027777777778" bottom="0.984027777777778" header="0.511811023622047" footer="0.511811023622047"/>
  <pageSetup paperSize="9" scale="93"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O149"/>
  <sheetViews>
    <sheetView showFormulas="false" showGridLines="false" showRowColHeaders="true" showZeros="true" rightToLeft="false" tabSelected="true" showOutlineSymbols="false" defaultGridColor="true" view="normal" topLeftCell="A1" colorId="64" zoomScale="120" zoomScaleNormal="120" zoomScalePageLayoutView="100" workbookViewId="0">
      <selection pane="topLeft" activeCell="P1" activeCellId="0" sqref="P1"/>
    </sheetView>
  </sheetViews>
  <sheetFormatPr defaultColWidth="11.41796875" defaultRowHeight="12.75" zeroHeight="false" outlineLevelRow="0" outlineLevelCol="0"/>
  <cols>
    <col collapsed="false" customWidth="true" hidden="false" outlineLevel="0" max="3" min="1" style="41" width="7.28"/>
    <col collapsed="false" customWidth="true" hidden="false" outlineLevel="0" max="4" min="4" style="41" width="8.28"/>
    <col collapsed="false" customWidth="true" hidden="false" outlineLevel="0" max="14" min="5" style="41" width="7.28"/>
    <col collapsed="false" customWidth="true" hidden="false" outlineLevel="0" max="15" min="15" style="41" width="4.99"/>
    <col collapsed="false" customWidth="true" hidden="false" outlineLevel="0" max="16" min="16" style="41" width="3.28"/>
    <col collapsed="false" customWidth="true" hidden="false" outlineLevel="0" max="17" min="17" style="41" width="5.41"/>
    <col collapsed="false" customWidth="true" hidden="false" outlineLevel="0" max="18" min="18" style="41" width="5.99"/>
    <col collapsed="false" customWidth="true" hidden="false" outlineLevel="0" max="19" min="19" style="41" width="5.13"/>
    <col collapsed="false" customWidth="true" hidden="false" outlineLevel="0" max="20" min="20" style="41" width="10.28"/>
    <col collapsed="false" customWidth="true" hidden="false" outlineLevel="0" max="24" min="21" style="41" width="5.13"/>
    <col collapsed="false" customWidth="false" hidden="false" outlineLevel="0" max="257" min="25" style="41" width="11.42"/>
  </cols>
  <sheetData>
    <row r="1" customFormat="false" ht="35.25" hidden="false" customHeight="true" outlineLevel="0" collapsed="false">
      <c r="A1" s="42" t="str">
        <f aca="false">'Leistung u. Drehmoment'!A7</f>
        <v>BMW M3 CSL Bj.2003
3246 cm³, 91 X 87</v>
      </c>
      <c r="B1" s="42"/>
      <c r="C1" s="42"/>
      <c r="D1" s="42"/>
      <c r="E1" s="42"/>
      <c r="F1" s="42"/>
      <c r="G1" s="42"/>
      <c r="H1" s="42"/>
      <c r="I1" s="42"/>
      <c r="J1" s="42"/>
      <c r="K1" s="42"/>
      <c r="L1" s="42"/>
      <c r="M1" s="42"/>
      <c r="N1" s="42"/>
    </row>
    <row r="2" customFormat="false" ht="15.75" hidden="false" customHeight="true" outlineLevel="0" collapsed="false">
      <c r="A2" s="43" t="s">
        <v>9</v>
      </c>
      <c r="B2" s="43"/>
      <c r="C2" s="43"/>
      <c r="D2" s="43"/>
      <c r="E2" s="43"/>
      <c r="F2" s="43"/>
      <c r="G2" s="43"/>
      <c r="H2" s="43"/>
      <c r="I2" s="44" t="s">
        <v>10</v>
      </c>
      <c r="J2" s="44"/>
      <c r="K2" s="44"/>
      <c r="L2" s="44"/>
      <c r="M2" s="44"/>
      <c r="N2" s="44"/>
    </row>
    <row r="3" customFormat="false" ht="26.25" hidden="false" customHeight="true" outlineLevel="0" collapsed="false">
      <c r="A3" s="45" t="s">
        <v>11</v>
      </c>
      <c r="B3" s="46" t="s">
        <v>12</v>
      </c>
      <c r="C3" s="47" t="s">
        <v>13</v>
      </c>
      <c r="D3" s="48" t="s">
        <v>14</v>
      </c>
      <c r="E3" s="48"/>
      <c r="F3" s="47" t="s">
        <v>15</v>
      </c>
      <c r="G3" s="49" t="s">
        <v>16</v>
      </c>
      <c r="H3" s="49"/>
      <c r="I3" s="45" t="s">
        <v>17</v>
      </c>
      <c r="J3" s="47" t="s">
        <v>18</v>
      </c>
      <c r="K3" s="47" t="s">
        <v>19</v>
      </c>
      <c r="L3" s="47" t="s">
        <v>20</v>
      </c>
      <c r="M3" s="47"/>
      <c r="N3" s="50" t="s">
        <v>21</v>
      </c>
    </row>
    <row r="4" customFormat="false" ht="14.65" hidden="false" customHeight="true" outlineLevel="0" collapsed="false">
      <c r="A4" s="51" t="n">
        <v>265</v>
      </c>
      <c r="B4" s="52" t="n">
        <v>35</v>
      </c>
      <c r="C4" s="52" t="n">
        <v>19</v>
      </c>
      <c r="D4" s="53" t="s">
        <v>22</v>
      </c>
      <c r="E4" s="53"/>
      <c r="F4" s="54" t="n">
        <f aca="false">IF(D4="M",(C4*25.4+2*B4/100*A4)*PI()*0.961/1000,(C4*25.4+2*B4/100*A4)*PI()*0.97129/1000)</f>
        <v>2.03863868879434</v>
      </c>
      <c r="G4" s="55" t="n">
        <v>0.016</v>
      </c>
      <c r="H4" s="55"/>
      <c r="I4" s="56" t="n">
        <v>1421</v>
      </c>
      <c r="J4" s="57" t="n">
        <v>1.75</v>
      </c>
      <c r="K4" s="57" t="n">
        <v>1.365</v>
      </c>
      <c r="L4" s="58" t="n">
        <f aca="false">ROUND(J4*K4*0.83,2)</f>
        <v>1.98</v>
      </c>
      <c r="M4" s="58"/>
      <c r="N4" s="59" t="n">
        <v>0.35</v>
      </c>
    </row>
    <row r="5" customFormat="false" ht="6" hidden="false" customHeight="true" outlineLevel="0" collapsed="false">
      <c r="N5" s="60"/>
    </row>
    <row r="6" customFormat="false" ht="14.25" hidden="false" customHeight="true" outlineLevel="0" collapsed="false">
      <c r="A6" s="3" t="s">
        <v>23</v>
      </c>
      <c r="B6" s="3"/>
      <c r="C6" s="61" t="s">
        <v>24</v>
      </c>
      <c r="D6" s="61" t="s">
        <v>25</v>
      </c>
      <c r="E6" s="62" t="s">
        <v>26</v>
      </c>
      <c r="F6" s="62" t="s">
        <v>27</v>
      </c>
      <c r="G6" s="62" t="s">
        <v>28</v>
      </c>
      <c r="H6" s="62" t="s">
        <v>29</v>
      </c>
      <c r="I6" s="62" t="s">
        <v>30</v>
      </c>
      <c r="J6" s="62" t="s">
        <v>31</v>
      </c>
      <c r="K6" s="62" t="s">
        <v>32</v>
      </c>
      <c r="L6" s="63" t="s">
        <v>33</v>
      </c>
      <c r="M6" s="64" t="s">
        <v>34</v>
      </c>
      <c r="N6" s="64"/>
    </row>
    <row r="7" customFormat="false" ht="15.75" hidden="false" customHeight="true" outlineLevel="0" collapsed="false">
      <c r="A7" s="3"/>
      <c r="B7" s="3"/>
      <c r="C7" s="65" t="n">
        <v>1</v>
      </c>
      <c r="D7" s="65" t="n">
        <v>1</v>
      </c>
      <c r="E7" s="66" t="n">
        <v>3.62</v>
      </c>
      <c r="F7" s="66" t="n">
        <v>4.227</v>
      </c>
      <c r="G7" s="66" t="n">
        <v>2.528</v>
      </c>
      <c r="H7" s="66" t="n">
        <v>1.669</v>
      </c>
      <c r="I7" s="66" t="n">
        <v>1.226</v>
      </c>
      <c r="J7" s="66" t="n">
        <v>1</v>
      </c>
      <c r="K7" s="66" t="n">
        <v>0.828</v>
      </c>
      <c r="L7" s="67"/>
      <c r="M7" s="64"/>
      <c r="N7" s="64"/>
    </row>
    <row r="8" customFormat="false" ht="13.5" hidden="false" customHeight="false" outlineLevel="0" collapsed="false">
      <c r="A8" s="68" t="s">
        <v>35</v>
      </c>
      <c r="B8" s="68"/>
      <c r="C8" s="58" t="n">
        <v>1</v>
      </c>
      <c r="D8" s="58"/>
      <c r="E8" s="58" t="n">
        <v>0.97</v>
      </c>
      <c r="F8" s="58" t="n">
        <v>0.9</v>
      </c>
      <c r="G8" s="58" t="n">
        <v>0.91</v>
      </c>
      <c r="H8" s="58" t="n">
        <v>0.93</v>
      </c>
      <c r="I8" s="58" t="n">
        <v>0.95</v>
      </c>
      <c r="J8" s="58" t="n">
        <v>0.98</v>
      </c>
      <c r="K8" s="58" t="n">
        <v>0.93</v>
      </c>
      <c r="L8" s="59"/>
      <c r="M8" s="69" t="n">
        <f aca="false">IF((MAX('Leistung u. Drehmoment'!C1:M1)&lt;D63),MAX('Leistung u. Drehmoment'!C1:M1),D63)</f>
        <v>8000</v>
      </c>
      <c r="N8" s="69"/>
    </row>
    <row r="10" customFormat="false" ht="13.5" hidden="false" customHeight="true" outlineLevel="0" collapsed="false">
      <c r="F10" s="70"/>
      <c r="G10" s="70"/>
      <c r="H10" s="70"/>
      <c r="I10" s="70"/>
      <c r="J10" s="70"/>
      <c r="K10" s="70"/>
      <c r="L10" s="70"/>
      <c r="M10" s="70"/>
      <c r="N10" s="70"/>
      <c r="O10" s="66" t="n">
        <v>1.02</v>
      </c>
      <c r="Q10" s="66" t="n">
        <v>1.1</v>
      </c>
    </row>
    <row r="11" customFormat="false" ht="59.25" hidden="false" customHeight="true" outlineLevel="0" collapsed="false">
      <c r="N11" s="71" t="n">
        <f aca="false">IF(OR(T15+L118=T15,T15=""),"",T15)</f>
        <v>99.99</v>
      </c>
    </row>
    <row r="12" customFormat="false" ht="44.25" hidden="false" customHeight="true" outlineLevel="0" collapsed="false">
      <c r="N12" s="71" t="n">
        <f aca="false">IF(OR(T16+L117=T16,T16=""),"",T16)</f>
        <v>0.8</v>
      </c>
      <c r="V12" s="60"/>
      <c r="W12" s="60"/>
      <c r="X12" s="60"/>
      <c r="Y12" s="60"/>
      <c r="Z12" s="60"/>
      <c r="AA12" s="60"/>
      <c r="AB12" s="60"/>
      <c r="AC12" s="60"/>
      <c r="AD12" s="60"/>
      <c r="AE12" s="60"/>
      <c r="AF12" s="60"/>
      <c r="AG12" s="60"/>
      <c r="AH12" s="60"/>
      <c r="AI12" s="60"/>
      <c r="AJ12" s="60"/>
      <c r="AK12" s="60"/>
      <c r="AL12" s="60"/>
      <c r="AM12" s="60"/>
      <c r="AN12" s="60"/>
      <c r="AO12" s="60"/>
    </row>
    <row r="13" customFormat="false" ht="35.25" hidden="false" customHeight="true" outlineLevel="0" collapsed="false">
      <c r="N13" s="71" t="n">
        <f aca="false">IF(OR(T17+L116=T17,T17=""),"",T17)</f>
        <v>0.5</v>
      </c>
      <c r="T13" s="72" t="s">
        <v>36</v>
      </c>
      <c r="U13" s="73"/>
      <c r="V13" s="73"/>
      <c r="W13" s="73"/>
      <c r="X13" s="73"/>
      <c r="Y13" s="73"/>
      <c r="Z13" s="73"/>
      <c r="AA13" s="73"/>
      <c r="AB13" s="73"/>
      <c r="AC13" s="73"/>
      <c r="AD13" s="73"/>
      <c r="AE13" s="73"/>
      <c r="AF13" s="60"/>
      <c r="AG13" s="60"/>
      <c r="AH13" s="60"/>
      <c r="AI13" s="60"/>
      <c r="AJ13" s="60"/>
      <c r="AK13" s="60"/>
      <c r="AL13" s="60"/>
      <c r="AM13" s="60"/>
      <c r="AN13" s="60"/>
      <c r="AO13" s="60"/>
    </row>
    <row r="14" customFormat="false" ht="44.25" hidden="false" customHeight="true" outlineLevel="0" collapsed="false">
      <c r="N14" s="71" t="n">
        <f aca="false">IF(OR(T18+L115=T18,T18=""),"",T18)</f>
        <v>0.3</v>
      </c>
      <c r="T14" s="74" t="s">
        <v>37</v>
      </c>
      <c r="U14" s="75"/>
      <c r="V14" s="60"/>
      <c r="W14" s="60"/>
      <c r="X14" s="60"/>
      <c r="Y14" s="60"/>
      <c r="Z14" s="60"/>
      <c r="AA14" s="60"/>
      <c r="AB14" s="60"/>
      <c r="AC14" s="60"/>
      <c r="AD14" s="60"/>
      <c r="AE14" s="60"/>
      <c r="AF14" s="60"/>
      <c r="AG14" s="60"/>
      <c r="AH14" s="60"/>
      <c r="AI14" s="60"/>
      <c r="AJ14" s="60"/>
      <c r="AK14" s="60"/>
      <c r="AL14" s="60"/>
      <c r="AM14" s="60"/>
      <c r="AN14" s="60"/>
      <c r="AO14" s="60"/>
    </row>
    <row r="15" customFormat="false" ht="30" hidden="false" customHeight="true" outlineLevel="0" collapsed="false">
      <c r="N15" s="71" t="n">
        <f aca="false">IF(OR(T19+L114=T19,T19=""),"",T19)</f>
        <v>0.2</v>
      </c>
      <c r="T15" s="76" t="n">
        <v>99.99</v>
      </c>
    </row>
    <row r="16" customFormat="false" ht="16.5" hidden="false" customHeight="true" outlineLevel="0" collapsed="false">
      <c r="N16" s="71" t="n">
        <f aca="false">IF(OR(T20+L113=T20,T20=""),"",T20)</f>
        <v>0.1</v>
      </c>
      <c r="Q16" s="77" t="s">
        <v>38</v>
      </c>
      <c r="R16" s="78" t="s">
        <v>39</v>
      </c>
      <c r="T16" s="76" t="n">
        <v>0.8</v>
      </c>
    </row>
    <row r="17" customFormat="false" ht="12.95" hidden="false" customHeight="true" outlineLevel="0" collapsed="false">
      <c r="N17" s="71" t="n">
        <f aca="false">IF(OR(T21+L112=T21,T21=""),"",T21)</f>
        <v>0.05</v>
      </c>
      <c r="Q17" s="79" t="s">
        <v>27</v>
      </c>
      <c r="R17" s="80"/>
      <c r="T17" s="76" t="n">
        <v>0.5</v>
      </c>
    </row>
    <row r="18" customFormat="false" ht="15.75" hidden="false" customHeight="true" outlineLevel="0" collapsed="false">
      <c r="N18" s="81" t="n">
        <f aca="false">IF(OR(T22+L111=T22,T22=""),"",T22)</f>
        <v>0</v>
      </c>
      <c r="Q18" s="82" t="s">
        <v>28</v>
      </c>
      <c r="R18" s="83"/>
      <c r="T18" s="76" t="n">
        <v>0.3</v>
      </c>
    </row>
    <row r="19" customFormat="false" ht="15" hidden="false" customHeight="true" outlineLevel="0" collapsed="false">
      <c r="N19" s="71" t="n">
        <f aca="false">IF(OR(T23+L110=T23,T23=""),"",T23)</f>
        <v>-0.05</v>
      </c>
      <c r="Q19" s="82" t="s">
        <v>29</v>
      </c>
      <c r="R19" s="83"/>
      <c r="T19" s="76" t="n">
        <v>0.2</v>
      </c>
    </row>
    <row r="20" customFormat="false" ht="12.95" hidden="false" customHeight="true" outlineLevel="0" collapsed="false">
      <c r="N20" s="71" t="n">
        <f aca="false">IF(OR(T24+L109=T24,T24=""),"",T24)</f>
        <v>-0.1</v>
      </c>
      <c r="Q20" s="82" t="s">
        <v>30</v>
      </c>
      <c r="R20" s="83"/>
      <c r="T20" s="76" t="n">
        <v>0.1</v>
      </c>
    </row>
    <row r="21" customFormat="false" ht="12.75" hidden="false" customHeight="false" outlineLevel="0" collapsed="false">
      <c r="Q21" s="82" t="s">
        <v>31</v>
      </c>
      <c r="R21" s="84"/>
      <c r="T21" s="76" t="n">
        <v>0.05</v>
      </c>
    </row>
    <row r="22" customFormat="false" ht="12.75" hidden="false" customHeight="false" outlineLevel="0" collapsed="false">
      <c r="O22" s="85" t="n">
        <v>1.04</v>
      </c>
      <c r="Q22" s="82" t="s">
        <v>32</v>
      </c>
      <c r="R22" s="83"/>
      <c r="T22" s="86" t="n">
        <v>0</v>
      </c>
    </row>
    <row r="23" customFormat="false" ht="13.5" hidden="false" customHeight="false" outlineLevel="0" collapsed="false">
      <c r="Q23" s="87" t="s">
        <v>33</v>
      </c>
      <c r="R23" s="88"/>
      <c r="T23" s="76" t="n">
        <v>-0.05</v>
      </c>
    </row>
    <row r="24" customFormat="false" ht="13.5" hidden="false" customHeight="false" outlineLevel="0" collapsed="false">
      <c r="T24" s="89" t="n">
        <v>-0.1</v>
      </c>
    </row>
    <row r="48" customFormat="false" ht="12.75" hidden="false" customHeight="false" outlineLevel="0" collapsed="false">
      <c r="Q48" s="90"/>
    </row>
    <row r="51" customFormat="false" ht="13.5" hidden="false" customHeight="false" outlineLevel="0" collapsed="false"/>
    <row r="52" customFormat="false" ht="13.5" hidden="false" customHeight="false" outlineLevel="0" collapsed="false">
      <c r="C52" s="91" t="s">
        <v>38</v>
      </c>
      <c r="D52" s="91"/>
      <c r="E52" s="91"/>
      <c r="F52" s="92" t="n">
        <v>1</v>
      </c>
      <c r="G52" s="93" t="n">
        <v>2</v>
      </c>
      <c r="H52" s="93" t="n">
        <v>3</v>
      </c>
      <c r="I52" s="93" t="n">
        <v>4</v>
      </c>
      <c r="J52" s="93" t="n">
        <v>5</v>
      </c>
      <c r="K52" s="93" t="n">
        <v>6</v>
      </c>
      <c r="L52" s="94" t="n">
        <v>7</v>
      </c>
    </row>
    <row r="53" customFormat="false" ht="12.75" hidden="false" customHeight="false" outlineLevel="0" collapsed="false">
      <c r="C53" s="95" t="s">
        <v>40</v>
      </c>
      <c r="D53" s="95"/>
      <c r="E53" s="95"/>
      <c r="F53" s="96" t="n">
        <f aca="false">IF(F54="","",F54*($D$7/$C$7*$E$7*F7*60)/(3.6*$F$4))</f>
        <v>8000</v>
      </c>
      <c r="G53" s="97" t="n">
        <f aca="false">IF(G54="","",G54*($D$7/$C$7*$E$7*G7*60)/(3.6*$F$4))</f>
        <v>8000</v>
      </c>
      <c r="H53" s="97" t="n">
        <f aca="false">IF(H54="","",H54*($D$7/$C$7*$E$7*H7*60)/(3.6*$F$4))</f>
        <v>8000</v>
      </c>
      <c r="I53" s="97" t="n">
        <f aca="false">IF(I54="","",I54*($D$7/$C$7*$E$7*I7*60)/(3.6*$F$4))</f>
        <v>8000</v>
      </c>
      <c r="J53" s="97" t="n">
        <f aca="false">IF(J54="","",J54*($D$7/$C$7*$E$7*J7*60)/(3.6*$F$4))</f>
        <v>8000</v>
      </c>
      <c r="K53" s="97" t="n">
        <f aca="false">IF(K54="","",K54*($D$7/$C$7*$E$7*K7*60)/(3.6*$F$4))</f>
        <v>8000</v>
      </c>
      <c r="L53" s="98" t="str">
        <f aca="false">IF(L54="","",L54*($D$7/$C$7*$E$7*L7*60)/(3.6*$F$4))</f>
        <v/>
      </c>
    </row>
    <row r="54" customFormat="false" ht="13.5" hidden="false" customHeight="false" outlineLevel="0" collapsed="false">
      <c r="C54" s="99" t="s">
        <v>41</v>
      </c>
      <c r="D54" s="99"/>
      <c r="E54" s="99"/>
      <c r="F54" s="100" t="n">
        <f aca="false">IF(R17="",E99,R17)</f>
        <v>63.9500194501596</v>
      </c>
      <c r="G54" s="101" t="n">
        <f aca="false">IF(R18="",E100,R18)</f>
        <v>106.92908711069</v>
      </c>
      <c r="H54" s="101" t="n">
        <f aca="false">IF(R19="",E101,R19)</f>
        <v>161.963290722483</v>
      </c>
      <c r="I54" s="101" t="n">
        <f aca="false">IF(R20="",E102,R20)</f>
        <v>220.486731008014</v>
      </c>
      <c r="J54" s="101" t="n">
        <f aca="false">IF(R21="",E103,R21)</f>
        <v>270.316732215825</v>
      </c>
      <c r="K54" s="101" t="n">
        <f aca="false">IF(R22="",E104,R22)</f>
        <v>326.469483352445</v>
      </c>
      <c r="L54" s="102" t="str">
        <f aca="false">IF(R23="",E105,R23)</f>
        <v/>
      </c>
    </row>
    <row r="56" customFormat="false" ht="13.5" hidden="false" customHeight="false" outlineLevel="0" collapsed="false"/>
    <row r="57" customFormat="false" ht="33.75" hidden="false" customHeight="true" outlineLevel="0" collapsed="false">
      <c r="B57" s="103" t="s">
        <v>42</v>
      </c>
      <c r="C57" s="104" t="s">
        <v>43</v>
      </c>
      <c r="D57" s="105" t="s">
        <v>44</v>
      </c>
      <c r="E57" s="105"/>
      <c r="F57" s="103" t="s">
        <v>45</v>
      </c>
      <c r="G57" s="104" t="s">
        <v>46</v>
      </c>
      <c r="H57" s="104" t="s">
        <v>47</v>
      </c>
      <c r="I57" s="104" t="s">
        <v>48</v>
      </c>
      <c r="J57" s="104" t="s">
        <v>49</v>
      </c>
      <c r="K57" s="104" t="s">
        <v>50</v>
      </c>
      <c r="L57" s="105" t="s">
        <v>51</v>
      </c>
    </row>
    <row r="58" customFormat="false" ht="12.75" hidden="false" customHeight="false" outlineLevel="0" collapsed="false">
      <c r="B58" s="106" t="n">
        <v>87</v>
      </c>
      <c r="C58" s="107" t="n">
        <v>30</v>
      </c>
      <c r="D58" s="98" t="n">
        <f aca="false">C58/B$58*30000</f>
        <v>10344.8275862069</v>
      </c>
      <c r="E58" s="98"/>
      <c r="F58" s="108" t="n">
        <f aca="false">IF(F$7="","",$F$4*3.6/($D$7/$C$7*$E$7)/F$7*$D58/60)</f>
        <v>82.6939906683098</v>
      </c>
      <c r="G58" s="109" t="n">
        <f aca="false">IF(G$7="","",$F$4*3.6/($D$7/$C$7*$E$7)/G$7*$D58/60)</f>
        <v>138.270371263823</v>
      </c>
      <c r="H58" s="109" t="n">
        <f aca="false">IF(H$7="","",$F$4*3.6/($D$7/$C$7*$E$7)/H$7*$D58/60)</f>
        <v>209.435289727349</v>
      </c>
      <c r="I58" s="109" t="n">
        <f aca="false">IF(I$7="","",$F$4*3.6/($D$7/$C$7*$E$7)/I$7*$D58/60)</f>
        <v>285.112152165535</v>
      </c>
      <c r="J58" s="109" t="n">
        <f aca="false">IF(J$7="","",$F$4*3.6/($D$7/$C$7*$E$7)/J$7*$D58/60)</f>
        <v>349.547498554946</v>
      </c>
      <c r="K58" s="109" t="n">
        <f aca="false">IF(K$7="","",$F$4*3.6/($D$7/$C$7*$E$7)/K$7*$D58/60)</f>
        <v>422.158814679886</v>
      </c>
      <c r="L58" s="110" t="str">
        <f aca="false">IF(L$7="","",$F$4*3.6/($D$7/$C$7*$E$7)/L$7*$D58/60)</f>
        <v/>
      </c>
    </row>
    <row r="59" customFormat="false" ht="12.75" hidden="false" customHeight="false" outlineLevel="0" collapsed="false">
      <c r="B59" s="111"/>
      <c r="C59" s="85" t="n">
        <v>29</v>
      </c>
      <c r="D59" s="84" t="n">
        <f aca="false">C59/B$58*30000</f>
        <v>10000</v>
      </c>
      <c r="E59" s="84"/>
      <c r="F59" s="112" t="n">
        <f aca="false">IF(F$7="","",$F$4*3.6/($D$7/$C$7*$E$7)/F$7*$D59/60)</f>
        <v>79.9375243126995</v>
      </c>
      <c r="G59" s="113" t="n">
        <f aca="false">IF(G$7="","",$F$4*3.6/($D$7/$C$7*$E$7)/G$7*$D59/60)</f>
        <v>133.661358888363</v>
      </c>
      <c r="H59" s="113" t="n">
        <f aca="false">IF(H$7="","",$F$4*3.6/($D$7/$C$7*$E$7)/H$7*$D59/60)</f>
        <v>202.454113403104</v>
      </c>
      <c r="I59" s="113" t="n">
        <f aca="false">IF(I$7="","",$F$4*3.6/($D$7/$C$7*$E$7)/I$7*$D59/60)</f>
        <v>275.608413760017</v>
      </c>
      <c r="J59" s="113" t="n">
        <f aca="false">IF(J$7="","",$F$4*3.6/($D$7/$C$7*$E$7)/J$7*$D59/60)</f>
        <v>337.895915269781</v>
      </c>
      <c r="K59" s="113" t="n">
        <f aca="false">IF(K$7="","",$F$4*3.6/($D$7/$C$7*$E$7)/K$7*$D59/60)</f>
        <v>408.086854190557</v>
      </c>
      <c r="L59" s="84" t="str">
        <f aca="false">IF(L$7="","",$F$4*3.6/($D$7/$C$7*$E$7)/L$7*$D59/60)</f>
        <v/>
      </c>
    </row>
    <row r="60" customFormat="false" ht="12.75" hidden="false" customHeight="false" outlineLevel="0" collapsed="false">
      <c r="B60" s="111"/>
      <c r="C60" s="85" t="n">
        <v>28</v>
      </c>
      <c r="D60" s="84" t="n">
        <f aca="false">C60/B$58*30000</f>
        <v>9655.1724137931</v>
      </c>
      <c r="E60" s="84"/>
      <c r="F60" s="112" t="n">
        <f aca="false">IF(F$7="","",$F$4*3.6/($D$7/$C$7*$E$7)/F$7*$D60/60)</f>
        <v>77.1810579570892</v>
      </c>
      <c r="G60" s="113" t="n">
        <f aca="false">IF(G$7="","",$F$4*3.6/($D$7/$C$7*$E$7)/G$7*$D60/60)</f>
        <v>129.052346512902</v>
      </c>
      <c r="H60" s="113" t="n">
        <f aca="false">IF(H$7="","",$F$4*3.6/($D$7/$C$7*$E$7)/H$7*$D60/60)</f>
        <v>195.472937078859</v>
      </c>
      <c r="I60" s="113" t="n">
        <f aca="false">IF(I$7="","",$F$4*3.6/($D$7/$C$7*$E$7)/I$7*$D60/60)</f>
        <v>266.104675354499</v>
      </c>
      <c r="J60" s="113" t="n">
        <f aca="false">IF(J$7="","",$F$4*3.6/($D$7/$C$7*$E$7)/J$7*$D60/60)</f>
        <v>326.244331984616</v>
      </c>
      <c r="K60" s="113" t="n">
        <f aca="false">IF(K$7="","",$F$4*3.6/($D$7/$C$7*$E$7)/K$7*$D60/60)</f>
        <v>394.014893701227</v>
      </c>
      <c r="L60" s="84" t="str">
        <f aca="false">IF(L$7="","",$F$4*3.6/($D$7/$C$7*$E$7)/L$7*$D60/60)</f>
        <v/>
      </c>
    </row>
    <row r="61" customFormat="false" ht="12.75" hidden="false" customHeight="false" outlineLevel="0" collapsed="false">
      <c r="B61" s="111"/>
      <c r="C61" s="85" t="n">
        <v>27</v>
      </c>
      <c r="D61" s="84" t="n">
        <f aca="false">C61/B$58*30000</f>
        <v>9310.34482758621</v>
      </c>
      <c r="E61" s="84"/>
      <c r="F61" s="112" t="n">
        <f aca="false">IF(F$7="","",$F$4*3.6/($D$7/$C$7*$E$7)/F$7*$D61/60)</f>
        <v>74.4245916014789</v>
      </c>
      <c r="G61" s="113" t="n">
        <f aca="false">IF(G$7="","",$F$4*3.6/($D$7/$C$7*$E$7)/G$7*$D61/60)</f>
        <v>124.443334137441</v>
      </c>
      <c r="H61" s="113" t="n">
        <f aca="false">IF(H$7="","",$F$4*3.6/($D$7/$C$7*$E$7)/H$7*$D61/60)</f>
        <v>188.491760754614</v>
      </c>
      <c r="I61" s="113" t="n">
        <f aca="false">IF(I$7="","",$F$4*3.6/($D$7/$C$7*$E$7)/I$7*$D61/60)</f>
        <v>256.600936948981</v>
      </c>
      <c r="J61" s="113" t="n">
        <f aca="false">IF(J$7="","",$F$4*3.6/($D$7/$C$7*$E$7)/J$7*$D61/60)</f>
        <v>314.592748699451</v>
      </c>
      <c r="K61" s="113" t="n">
        <f aca="false">IF(K$7="","",$F$4*3.6/($D$7/$C$7*$E$7)/K$7*$D61/60)</f>
        <v>379.942933211897</v>
      </c>
      <c r="L61" s="84" t="str">
        <f aca="false">IF(L$7="","",$F$4*3.6/($D$7/$C$7*$E$7)/L$7*$D61/60)</f>
        <v/>
      </c>
    </row>
    <row r="62" customFormat="false" ht="12.75" hidden="false" customHeight="false" outlineLevel="0" collapsed="false">
      <c r="B62" s="111"/>
      <c r="C62" s="85" t="n">
        <v>26</v>
      </c>
      <c r="D62" s="84" t="n">
        <f aca="false">C62/B$58*30000</f>
        <v>8965.51724137931</v>
      </c>
      <c r="E62" s="84"/>
      <c r="F62" s="112" t="n">
        <f aca="false">IF(F$7="","",$F$4*3.6/($D$7/$C$7*$E$7)/F$7*$D62/60)</f>
        <v>71.6681252458685</v>
      </c>
      <c r="G62" s="113" t="n">
        <f aca="false">IF(G$7="","",$F$4*3.6/($D$7/$C$7*$E$7)/G$7*$D62/60)</f>
        <v>119.83432176198</v>
      </c>
      <c r="H62" s="113" t="n">
        <f aca="false">IF(H$7="","",$F$4*3.6/($D$7/$C$7*$E$7)/H$7*$D62/60)</f>
        <v>181.510584430369</v>
      </c>
      <c r="I62" s="113" t="n">
        <f aca="false">IF(I$7="","",$F$4*3.6/($D$7/$C$7*$E$7)/I$7*$D62/60)</f>
        <v>247.097198543464</v>
      </c>
      <c r="J62" s="113" t="n">
        <f aca="false">IF(J$7="","",$F$4*3.6/($D$7/$C$7*$E$7)/J$7*$D62/60)</f>
        <v>302.941165414286</v>
      </c>
      <c r="K62" s="113" t="n">
        <f aca="false">IF(K$7="","",$F$4*3.6/($D$7/$C$7*$E$7)/K$7*$D62/60)</f>
        <v>365.870972722568</v>
      </c>
      <c r="L62" s="84" t="str">
        <f aca="false">IF(L$7="","",$F$4*3.6/($D$7/$C$7*$E$7)/L$7*$D62/60)</f>
        <v/>
      </c>
    </row>
    <row r="63" customFormat="false" ht="12.75" hidden="false" customHeight="false" outlineLevel="0" collapsed="false">
      <c r="B63" s="111"/>
      <c r="C63" s="114" t="n">
        <v>25</v>
      </c>
      <c r="D63" s="115" t="n">
        <f aca="false">C63/B$58*30000</f>
        <v>8620.68965517241</v>
      </c>
      <c r="E63" s="115"/>
      <c r="F63" s="116" t="n">
        <f aca="false">IF(F$7="","",$F$4*3.6/($D$7/$C$7*$E$7)/F$7*$D63/60)</f>
        <v>68.9116588902582</v>
      </c>
      <c r="G63" s="117" t="n">
        <f aca="false">IF(G$7="","",$F$4*3.6/($D$7/$C$7*$E$7)/G$7*$D63/60)</f>
        <v>115.22530938652</v>
      </c>
      <c r="H63" s="117" t="n">
        <f aca="false">IF(H$7="","",$F$4*3.6/($D$7/$C$7*$E$7)/H$7*$D63/60)</f>
        <v>174.529408106124</v>
      </c>
      <c r="I63" s="117" t="n">
        <f aca="false">IF(I$7="","",$F$4*3.6/($D$7/$C$7*$E$7)/I$7*$D63/60)</f>
        <v>237.593460137946</v>
      </c>
      <c r="J63" s="117" t="n">
        <f aca="false">IF(J$7="","",$F$4*3.6/($D$7/$C$7*$E$7)/J$7*$D63/60)</f>
        <v>291.289582129121</v>
      </c>
      <c r="K63" s="117" t="n">
        <f aca="false">IF(K$7="","",$F$4*3.6/($D$7/$C$7*$E$7)/K$7*$D63/60)</f>
        <v>351.799012233238</v>
      </c>
      <c r="L63" s="115" t="str">
        <f aca="false">IF(L$7="","",$F$4*3.6/($D$7/$C$7*$E$7)/L$7*$D63/60)</f>
        <v/>
      </c>
    </row>
    <row r="64" customFormat="false" ht="12.75" hidden="false" customHeight="false" outlineLevel="0" collapsed="false">
      <c r="B64" s="111"/>
      <c r="C64" s="85" t="n">
        <v>24</v>
      </c>
      <c r="D64" s="84" t="n">
        <f aca="false">C64/B$58*30000</f>
        <v>8275.86206896552</v>
      </c>
      <c r="E64" s="84"/>
      <c r="F64" s="112" t="n">
        <f aca="false">IF(F$7="","",$F$4*3.6/($D$7/$C$7*$E$7)/F$7*$D64/60)</f>
        <v>66.1551925346479</v>
      </c>
      <c r="G64" s="113" t="n">
        <f aca="false">IF(G$7="","",$F$4*3.6/($D$7/$C$7*$E$7)/G$7*$D64/60)</f>
        <v>110.616297011059</v>
      </c>
      <c r="H64" s="113" t="n">
        <f aca="false">IF(H$7="","",$F$4*3.6/($D$7/$C$7*$E$7)/H$7*$D64/60)</f>
        <v>167.548231781879</v>
      </c>
      <c r="I64" s="113" t="n">
        <f aca="false">IF(I$7="","",$F$4*3.6/($D$7/$C$7*$E$7)/I$7*$D64/60)</f>
        <v>228.089721732428</v>
      </c>
      <c r="J64" s="113" t="n">
        <f aca="false">IF(J$7="","",$F$4*3.6/($D$7/$C$7*$E$7)/J$7*$D64/60)</f>
        <v>279.637998843957</v>
      </c>
      <c r="K64" s="113" t="n">
        <f aca="false">IF(K$7="","",$F$4*3.6/($D$7/$C$7*$E$7)/K$7*$D64/60)</f>
        <v>337.727051743909</v>
      </c>
      <c r="L64" s="84" t="str">
        <f aca="false">IF(L$7="","",$F$4*3.6/($D$7/$C$7*$E$7)/L$7*$D64/60)</f>
        <v/>
      </c>
    </row>
    <row r="65" customFormat="false" ht="12.75" hidden="false" customHeight="false" outlineLevel="0" collapsed="false">
      <c r="B65" s="111"/>
      <c r="C65" s="85" t="n">
        <v>23</v>
      </c>
      <c r="D65" s="84" t="n">
        <f aca="false">C65/B$58*30000</f>
        <v>7931.03448275862</v>
      </c>
      <c r="E65" s="84"/>
      <c r="F65" s="112" t="n">
        <f aca="false">IF(F$7="","",$F$4*3.6/($D$7/$C$7*$E$7)/F$7*$D65/60)</f>
        <v>63.3987261790375</v>
      </c>
      <c r="G65" s="113" t="n">
        <f aca="false">IF(G$7="","",$F$4*3.6/($D$7/$C$7*$E$7)/G$7*$D65/60)</f>
        <v>106.007284635598</v>
      </c>
      <c r="H65" s="113" t="n">
        <f aca="false">IF(H$7="","",$F$4*3.6/($D$7/$C$7*$E$7)/H$7*$D65/60)</f>
        <v>160.567055457634</v>
      </c>
      <c r="I65" s="113" t="n">
        <f aca="false">IF(I$7="","",$F$4*3.6/($D$7/$C$7*$E$7)/I$7*$D65/60)</f>
        <v>218.58598332691</v>
      </c>
      <c r="J65" s="113" t="n">
        <f aca="false">IF(J$7="","",$F$4*3.6/($D$7/$C$7*$E$7)/J$7*$D65/60)</f>
        <v>267.986415558792</v>
      </c>
      <c r="K65" s="113" t="n">
        <f aca="false">IF(K$7="","",$F$4*3.6/($D$7/$C$7*$E$7)/K$7*$D65/60)</f>
        <v>323.655091254579</v>
      </c>
      <c r="L65" s="84" t="str">
        <f aca="false">IF(L$7="","",$F$4*3.6/($D$7/$C$7*$E$7)/L$7*$D65/60)</f>
        <v/>
      </c>
    </row>
    <row r="66" customFormat="false" ht="12.75" hidden="false" customHeight="false" outlineLevel="0" collapsed="false">
      <c r="B66" s="111"/>
      <c r="C66" s="118" t="n">
        <v>22</v>
      </c>
      <c r="D66" s="119" t="n">
        <f aca="false">C66/B$58*30000</f>
        <v>7586.20689655173</v>
      </c>
      <c r="E66" s="119"/>
      <c r="F66" s="120" t="n">
        <f aca="false">IF(F$7="","",$F$4*3.6/($D$7/$C$7*$E$7)/F$7*$D66/60)</f>
        <v>60.6422598234272</v>
      </c>
      <c r="G66" s="121" t="n">
        <f aca="false">IF(G$7="","",$F$4*3.6/($D$7/$C$7*$E$7)/G$7*$D66/60)</f>
        <v>101.398272260137</v>
      </c>
      <c r="H66" s="121" t="n">
        <f aca="false">IF(H$7="","",$F$4*3.6/($D$7/$C$7*$E$7)/H$7*$D66/60)</f>
        <v>153.585879133389</v>
      </c>
      <c r="I66" s="121" t="n">
        <f aca="false">IF(I$7="","",$F$4*3.6/($D$7/$C$7*$E$7)/I$7*$D66/60)</f>
        <v>209.082244921392</v>
      </c>
      <c r="J66" s="121" t="n">
        <f aca="false">IF(J$7="","",$F$4*3.6/($D$7/$C$7*$E$7)/J$7*$D66/60)</f>
        <v>256.334832273627</v>
      </c>
      <c r="K66" s="121" t="n">
        <f aca="false">IF(K$7="","",$F$4*3.6/($D$7/$C$7*$E$7)/K$7*$D66/60)</f>
        <v>309.58313076525</v>
      </c>
      <c r="L66" s="119" t="str">
        <f aca="false">IF(L$7="","",$F$4*3.6/($D$7/$C$7*$E$7)/L$7*$D66/60)</f>
        <v/>
      </c>
    </row>
    <row r="67" customFormat="false" ht="12.75" hidden="false" customHeight="false" outlineLevel="0" collapsed="false">
      <c r="B67" s="111"/>
      <c r="C67" s="85" t="n">
        <v>21</v>
      </c>
      <c r="D67" s="84" t="n">
        <f aca="false">C67/B$58*30000</f>
        <v>7241.37931034483</v>
      </c>
      <c r="E67" s="84"/>
      <c r="F67" s="112" t="n">
        <f aca="false">IF(F$7="","",$F$4*3.6/($D$7/$C$7*$E$7)/F$7*$D67/60)</f>
        <v>57.8857934678169</v>
      </c>
      <c r="G67" s="113" t="n">
        <f aca="false">IF(G$7="","",$F$4*3.6/($D$7/$C$7*$E$7)/G$7*$D67/60)</f>
        <v>96.7892598846764</v>
      </c>
      <c r="H67" s="113" t="n">
        <f aca="false">IF(H$7="","",$F$4*3.6/($D$7/$C$7*$E$7)/H$7*$D67/60)</f>
        <v>146.604702809144</v>
      </c>
      <c r="I67" s="113" t="n">
        <f aca="false">IF(I$7="","",$F$4*3.6/($D$7/$C$7*$E$7)/I$7*$D67/60)</f>
        <v>199.578506515874</v>
      </c>
      <c r="J67" s="113" t="n">
        <f aca="false">IF(J$7="","",$F$4*3.6/($D$7/$C$7*$E$7)/J$7*$D67/60)</f>
        <v>244.683248988462</v>
      </c>
      <c r="K67" s="113" t="n">
        <f aca="false">IF(K$7="","",$F$4*3.6/($D$7/$C$7*$E$7)/K$7*$D67/60)</f>
        <v>295.51117027592</v>
      </c>
      <c r="L67" s="84" t="str">
        <f aca="false">IF(L$7="","",$F$4*3.6/($D$7/$C$7*$E$7)/L$7*$D67/60)</f>
        <v/>
      </c>
    </row>
    <row r="68" customFormat="false" ht="12.75" hidden="false" customHeight="false" outlineLevel="0" collapsed="false">
      <c r="B68" s="111"/>
      <c r="C68" s="122" t="n">
        <v>20</v>
      </c>
      <c r="D68" s="123" t="n">
        <f aca="false">C68/B$58*30000</f>
        <v>6896.55172413793</v>
      </c>
      <c r="E68" s="123"/>
      <c r="F68" s="124" t="n">
        <f aca="false">IF(F$7="","",$F$4*3.6/($D$7/$C$7*$E$7)/F$7*$D68/60)</f>
        <v>55.1293271122066</v>
      </c>
      <c r="G68" s="125" t="n">
        <f aca="false">IF(G$7="","",$F$4*3.6/($D$7/$C$7*$E$7)/G$7*$D68/60)</f>
        <v>92.1802475092156</v>
      </c>
      <c r="H68" s="125" t="n">
        <f aca="false">IF(H$7="","",$F$4*3.6/($D$7/$C$7*$E$7)/H$7*$D68/60)</f>
        <v>139.623526484899</v>
      </c>
      <c r="I68" s="125" t="n">
        <f aca="false">IF(I$7="","",$F$4*3.6/($D$7/$C$7*$E$7)/I$7*$D68/60)</f>
        <v>190.074768110357</v>
      </c>
      <c r="J68" s="125" t="n">
        <f aca="false">IF(J$7="","",$F$4*3.6/($D$7/$C$7*$E$7)/J$7*$D68/60)</f>
        <v>233.031665703297</v>
      </c>
      <c r="K68" s="125" t="n">
        <f aca="false">IF(K$7="","",$F$4*3.6/($D$7/$C$7*$E$7)/K$7*$D68/60)</f>
        <v>281.439209786591</v>
      </c>
      <c r="L68" s="123" t="str">
        <f aca="false">IF(L$7="","",$F$4*3.6/($D$7/$C$7*$E$7)/L$7*$D68/60)</f>
        <v/>
      </c>
    </row>
    <row r="69" customFormat="false" ht="12.75" hidden="false" customHeight="false" outlineLevel="0" collapsed="false">
      <c r="B69" s="111"/>
      <c r="C69" s="85" t="n">
        <v>19</v>
      </c>
      <c r="D69" s="84" t="n">
        <f aca="false">C69/B$58*30000</f>
        <v>6551.72413793103</v>
      </c>
      <c r="E69" s="84"/>
      <c r="F69" s="112" t="n">
        <f aca="false">IF(F$7="","",$F$4*3.6/($D$7/$C$7*$E$7)/F$7*$D69/60)</f>
        <v>52.3728607565962</v>
      </c>
      <c r="G69" s="113" t="n">
        <f aca="false">IF(G$7="","",$F$4*3.6/($D$7/$C$7*$E$7)/G$7*$D69/60)</f>
        <v>87.5712351337549</v>
      </c>
      <c r="H69" s="113" t="n">
        <f aca="false">IF(H$7="","",$F$4*3.6/($D$7/$C$7*$E$7)/H$7*$D69/60)</f>
        <v>132.642350160654</v>
      </c>
      <c r="I69" s="113" t="n">
        <f aca="false">IF(I$7="","",$F$4*3.6/($D$7/$C$7*$E$7)/I$7*$D69/60)</f>
        <v>180.571029704839</v>
      </c>
      <c r="J69" s="113" t="n">
        <f aca="false">IF(J$7="","",$F$4*3.6/($D$7/$C$7*$E$7)/J$7*$D69/60)</f>
        <v>221.380082418132</v>
      </c>
      <c r="K69" s="113" t="n">
        <f aca="false">IF(K$7="","",$F$4*3.6/($D$7/$C$7*$E$7)/K$7*$D69/60)</f>
        <v>267.367249297261</v>
      </c>
      <c r="L69" s="84" t="str">
        <f aca="false">IF(L$7="","",$F$4*3.6/($D$7/$C$7*$E$7)/L$7*$D69/60)</f>
        <v/>
      </c>
    </row>
    <row r="70" customFormat="false" ht="12.75" hidden="false" customHeight="false" outlineLevel="0" collapsed="false">
      <c r="B70" s="111"/>
      <c r="C70" s="85" t="n">
        <v>18</v>
      </c>
      <c r="D70" s="84" t="n">
        <f aca="false">C70/B$58*30000</f>
        <v>6206.89655172414</v>
      </c>
      <c r="E70" s="84"/>
      <c r="F70" s="112" t="n">
        <f aca="false">IF(F$7="","",$F$4*3.6/($D$7/$C$7*$E$7)/F$7*$D70/60)</f>
        <v>49.6163944009859</v>
      </c>
      <c r="G70" s="113" t="n">
        <f aca="false">IF(G$7="","",$F$4*3.6/($D$7/$C$7*$E$7)/G$7*$D70/60)</f>
        <v>82.9622227582941</v>
      </c>
      <c r="H70" s="113" t="n">
        <f aca="false">IF(H$7="","",$F$4*3.6/($D$7/$C$7*$E$7)/H$7*$D70/60)</f>
        <v>125.661173836409</v>
      </c>
      <c r="I70" s="113" t="n">
        <f aca="false">IF(I$7="","",$F$4*3.6/($D$7/$C$7*$E$7)/I$7*$D70/60)</f>
        <v>171.067291299321</v>
      </c>
      <c r="J70" s="113" t="n">
        <f aca="false">IF(J$7="","",$F$4*3.6/($D$7/$C$7*$E$7)/J$7*$D70/60)</f>
        <v>209.728499132967</v>
      </c>
      <c r="K70" s="113" t="n">
        <f aca="false">IF(K$7="","",$F$4*3.6/($D$7/$C$7*$E$7)/K$7*$D70/60)</f>
        <v>253.295288807932</v>
      </c>
      <c r="L70" s="84" t="str">
        <f aca="false">IF(L$7="","",$F$4*3.6/($D$7/$C$7*$E$7)/L$7*$D70/60)</f>
        <v/>
      </c>
    </row>
    <row r="71" customFormat="false" ht="12.75" hidden="false" customHeight="false" outlineLevel="0" collapsed="false">
      <c r="B71" s="111"/>
      <c r="C71" s="85" t="n">
        <v>17</v>
      </c>
      <c r="D71" s="84" t="n">
        <f aca="false">C71/B$58*30000</f>
        <v>5862.06896551724</v>
      </c>
      <c r="E71" s="84"/>
      <c r="F71" s="112" t="n">
        <f aca="false">IF(F$7="","",$F$4*3.6/($D$7/$C$7*$E$7)/F$7*$D71/60)</f>
        <v>46.8599280453756</v>
      </c>
      <c r="G71" s="113" t="n">
        <f aca="false">IF(G$7="","",$F$4*3.6/($D$7/$C$7*$E$7)/G$7*$D71/60)</f>
        <v>78.3532103828333</v>
      </c>
      <c r="H71" s="113" t="n">
        <f aca="false">IF(H$7="","",$F$4*3.6/($D$7/$C$7*$E$7)/H$7*$D71/60)</f>
        <v>118.679997512165</v>
      </c>
      <c r="I71" s="113" t="n">
        <f aca="false">IF(I$7="","",$F$4*3.6/($D$7/$C$7*$E$7)/I$7*$D71/60)</f>
        <v>161.563552893803</v>
      </c>
      <c r="J71" s="113" t="n">
        <f aca="false">IF(J$7="","",$F$4*3.6/($D$7/$C$7*$E$7)/J$7*$D71/60)</f>
        <v>198.076915847803</v>
      </c>
      <c r="K71" s="113" t="n">
        <f aca="false">IF(K$7="","",$F$4*3.6/($D$7/$C$7*$E$7)/K$7*$D71/60)</f>
        <v>239.223328318602</v>
      </c>
      <c r="L71" s="84" t="str">
        <f aca="false">IF(L$7="","",$F$4*3.6/($D$7/$C$7*$E$7)/L$7*$D71/60)</f>
        <v/>
      </c>
    </row>
    <row r="72" customFormat="false" ht="12.75" hidden="false" customHeight="false" outlineLevel="0" collapsed="false">
      <c r="B72" s="111"/>
      <c r="C72" s="85" t="n">
        <v>16</v>
      </c>
      <c r="D72" s="84" t="n">
        <f aca="false">C72/B$58*30000</f>
        <v>5517.24137931035</v>
      </c>
      <c r="E72" s="84"/>
      <c r="F72" s="112" t="n">
        <f aca="false">IF(F$7="","",$F$4*3.6/($D$7/$C$7*$E$7)/F$7*$D72/60)</f>
        <v>44.1034616897653</v>
      </c>
      <c r="G72" s="113" t="n">
        <f aca="false">IF(G$7="","",$F$4*3.6/($D$7/$C$7*$E$7)/G$7*$D72/60)</f>
        <v>73.7441980073725</v>
      </c>
      <c r="H72" s="113" t="n">
        <f aca="false">IF(H$7="","",$F$4*3.6/($D$7/$C$7*$E$7)/H$7*$D72/60)</f>
        <v>111.69882118792</v>
      </c>
      <c r="I72" s="113" t="n">
        <f aca="false">IF(I$7="","",$F$4*3.6/($D$7/$C$7*$E$7)/I$7*$D72/60)</f>
        <v>152.059814488285</v>
      </c>
      <c r="J72" s="113" t="n">
        <f aca="false">IF(J$7="","",$F$4*3.6/($D$7/$C$7*$E$7)/J$7*$D72/60)</f>
        <v>186.425332562638</v>
      </c>
      <c r="K72" s="113" t="n">
        <f aca="false">IF(K$7="","",$F$4*3.6/($D$7/$C$7*$E$7)/K$7*$D72/60)</f>
        <v>225.151367829273</v>
      </c>
      <c r="L72" s="84" t="str">
        <f aca="false">IF(L$7="","",$F$4*3.6/($D$7/$C$7*$E$7)/L$7*$D72/60)</f>
        <v/>
      </c>
    </row>
    <row r="73" customFormat="false" ht="13.5" hidden="false" customHeight="false" outlineLevel="0" collapsed="false">
      <c r="B73" s="126"/>
      <c r="C73" s="127" t="n">
        <v>15</v>
      </c>
      <c r="D73" s="102" t="n">
        <f aca="false">C73/B$58*30000</f>
        <v>5172.41379310345</v>
      </c>
      <c r="E73" s="102"/>
      <c r="F73" s="100" t="n">
        <f aca="false">IF(F$7="","",$F$4*3.6/($D$7/$C$7*$E$7)/F$7*$D73/60)</f>
        <v>41.3469953341549</v>
      </c>
      <c r="G73" s="101" t="n">
        <f aca="false">IF(G$7="","",$F$4*3.6/($D$7/$C$7*$E$7)/G$7*$D73/60)</f>
        <v>69.1351856319117</v>
      </c>
      <c r="H73" s="101" t="n">
        <f aca="false">IF(H$7="","",$F$4*3.6/($D$7/$C$7*$E$7)/H$7*$D73/60)</f>
        <v>104.717644863675</v>
      </c>
      <c r="I73" s="101" t="n">
        <f aca="false">IF(I$7="","",$F$4*3.6/($D$7/$C$7*$E$7)/I$7*$D73/60)</f>
        <v>142.556076082767</v>
      </c>
      <c r="J73" s="101" t="n">
        <f aca="false">IF(J$7="","",$F$4*3.6/($D$7/$C$7*$E$7)/J$7*$D73/60)</f>
        <v>174.773749277473</v>
      </c>
      <c r="K73" s="101" t="n">
        <f aca="false">IF(K$7="","",$F$4*3.6/($D$7/$C$7*$E$7)/K$7*$D73/60)</f>
        <v>211.079407339943</v>
      </c>
      <c r="L73" s="102" t="str">
        <f aca="false">IF(L$7="","",$F$4*3.6/($D$7/$C$7*$E$7)/L$7*$D73/60)</f>
        <v/>
      </c>
    </row>
    <row r="82" customFormat="false" ht="13.5" hidden="false" customHeight="false" outlineLevel="0" collapsed="false"/>
    <row r="83" customFormat="false" ht="12.75" hidden="false" customHeight="false" outlineLevel="0" collapsed="false">
      <c r="A83" s="128" t="s">
        <v>52</v>
      </c>
      <c r="B83" s="128"/>
      <c r="C83" s="129" t="n">
        <f aca="false">IF('Leistung u. Drehmoment'!C1="",0,IF(($F$7&lt;=0),0,(3.6*$F$4*'Leistung u. Drehmoment'!C$1/($D$7/$C$7*$E$7*$F$7*60))))</f>
        <v>7.99375243126995</v>
      </c>
      <c r="D83" s="129" t="n">
        <f aca="false">IF('Leistung u. Drehmoment'!D1="",C83,IF(($F$7&lt;=0),0,(3.6*$F$4*'Leistung u. Drehmoment'!D$1/($D$7/$C$7*$E$7*$F$7*60))))</f>
        <v>15.9875048625399</v>
      </c>
      <c r="E83" s="129" t="n">
        <f aca="false">IF('Leistung u. Drehmoment'!E1="",D83,IF(($F$7&lt;=0),0,(3.6*$F$4*'Leistung u. Drehmoment'!E$1/($D$7/$C$7*$E$7*$F$7*60))))</f>
        <v>23.9812572938099</v>
      </c>
      <c r="F83" s="129" t="n">
        <f aca="false">IF('Leistung u. Drehmoment'!F1="",E83,IF(($F$7&lt;=0),0,(3.6*$F$4*'Leistung u. Drehmoment'!F$1/($D$7/$C$7*$E$7*$F$7*60))))</f>
        <v>31.9750097250798</v>
      </c>
      <c r="G83" s="129" t="n">
        <f aca="false">IF('Leistung u. Drehmoment'!G1="",F83,IF(($F$7&lt;=0),0,(3.6*$F$4*'Leistung u. Drehmoment'!G$1/($D$7/$C$7*$E$7*$F$7*60))))</f>
        <v>39.1693869132228</v>
      </c>
      <c r="H83" s="129" t="n">
        <f aca="false">IF('Leistung u. Drehmoment'!H1="",G83,IF(($F$7&lt;=0),0,(3.6*$F$4*'Leistung u. Drehmoment'!H$1/($D$7/$C$7*$E$7*$F$7*60))))</f>
        <v>47.9625145876197</v>
      </c>
      <c r="I83" s="129" t="n">
        <f aca="false">IF('Leistung u. Drehmoment'!I1="",H83,IF(($F$7&lt;=0),0,(3.6*$F$4*'Leistung u. Drehmoment'!I$1/($D$7/$C$7*$E$7*$F$7*60))))</f>
        <v>55.9562670188897</v>
      </c>
      <c r="J83" s="129" t="n">
        <f aca="false">IF('Leistung u. Drehmoment'!J1="",I83,IF(($F$7&lt;=0),0,(3.6*$F$4*'Leistung u. Drehmoment'!J$1/($D$7/$C$7*$E$7*$F$7*60))))</f>
        <v>63.1506442070326</v>
      </c>
      <c r="K83" s="129" t="n">
        <f aca="false">IF('Leistung u. Drehmoment'!K1="",J83,IF(($F$7&lt;=0),0,(3.6*$F$4*'Leistung u. Drehmoment'!K$1/($D$7/$C$7*$E$7*$F$7*60))))</f>
        <v>63.9500194501596</v>
      </c>
      <c r="L83" s="129" t="n">
        <f aca="false">IF('Leistung u. Drehmoment'!L1="",K83,IF(($F$7&lt;=0),0,(3.6*$F$4*'Leistung u. Drehmoment'!L$1/($D$7/$C$7*$E$7*$F$7*60))))</f>
        <v>63.9500194501596</v>
      </c>
      <c r="M83" s="130" t="n">
        <f aca="false">IF('Leistung u. Drehmoment'!M1="",L83,IF(($F$7&lt;=0),0,(3.6*$F$4*'Leistung u. Drehmoment'!M$1/($D$7/$C$7*$E$7*$F$7*60))))</f>
        <v>63.9500194501596</v>
      </c>
    </row>
    <row r="84" customFormat="false" ht="12.75" hidden="false" customHeight="false" outlineLevel="0" collapsed="false">
      <c r="A84" s="131" t="s">
        <v>53</v>
      </c>
      <c r="B84" s="131"/>
      <c r="C84" s="132" t="n">
        <f aca="false">IF('Leistung u. Drehmoment'!C1="",0,IF(($F$7=0),0,('Leistung u. Drehmoment'!C$4*$D$7/$C$7*$E$7*$F$7*$C$8*$E$8*$F$8/($F$4/2/PI()))))</f>
        <v>10222.8358685448</v>
      </c>
      <c r="D84" s="132" t="n">
        <f aca="false">IF('Leistung u. Drehmoment'!D1="",C84,IF(($F$7=0),0,('Leistung u. Drehmoment'!D$4*$D$7/$C$7*$E$7*$F$7*$C$8*$E$8*$F$8/($F$4/2/PI()))))</f>
        <v>11939.6794276198</v>
      </c>
      <c r="E84" s="132" t="n">
        <f aca="false">IF('Leistung u. Drehmoment'!E1="",D84,IF(($F$7=0),0,('Leistung u. Drehmoment'!E$4*$D$7/$C$7*$E$7*$F$7*$C$8*$E$8*$F$8/($F$4/2/PI()))))</f>
        <v>13380.6752206084</v>
      </c>
      <c r="F84" s="132" t="n">
        <f aca="false">IF('Leistung u. Drehmoment'!F1="",E84,IF(($F$7=0),0,('Leistung u. Drehmoment'!F$4*$D$7/$C$7*$E$7*$F$7*$C$8*$E$8*$F$8/($F$4/2/PI()))))</f>
        <v>14615.8144717414</v>
      </c>
      <c r="G84" s="132" t="n">
        <f aca="false">IF('Leistung u. Drehmoment'!G1="",F84,IF(($F$7=0),0,('Leistung u. Drehmoment'!G$4*$D$7/$C$7*$E$7*$F$7*$C$8*$E$8*$F$8/($F$4/2/PI()))))</f>
        <v>15233.384097308</v>
      </c>
      <c r="H84" s="132" t="n">
        <f aca="false">IF('Leistung u. Drehmoment'!H1="",G84,IF(($F$7=0),0,('Leistung u. Drehmoment'!H$4*$D$7/$C$7*$E$7*$F$7*$C$8*$E$8*$F$8/($F$4/2/PI()))))</f>
        <v>14821.671013597</v>
      </c>
      <c r="I84" s="132" t="n">
        <f aca="false">IF('Leistung u. Drehmoment'!I1="",H84,IF(($F$7=0),0,('Leistung u. Drehmoment'!I$4*$D$7/$C$7*$E$7*$F$7*$C$8*$E$8*$F$8/($F$4/2/PI()))))</f>
        <v>14204.1013880304</v>
      </c>
      <c r="J84" s="132" t="n">
        <f aca="false">IF('Leistung u. Drehmoment'!J1="",I84,IF(($F$7=0),0,('Leistung u. Drehmoment'!J$4*$D$7/$C$7*$E$7*$F$7*$C$8*$E$8*$F$8/($F$4/2/PI()))))</f>
        <v>13189.1504633124</v>
      </c>
      <c r="K84" s="132" t="n">
        <f aca="false">IF('Leistung u. Drehmoment'!K1="",J84,IF(($F$7=0),0,('Leistung u. Drehmoment'!K$4*$D$7/$C$7*$E$7*$F$7*$C$8*$E$8*$F$8/($F$4/2/PI()))))</f>
        <v>12975.137833153</v>
      </c>
      <c r="L84" s="132" t="n">
        <f aca="false">IF('Leistung u. Drehmoment'!L1="",K84,IF(($F$7=0),0,('Leistung u. Drehmoment'!L$4*$D$7/$C$7*$E$7*$F$7*$C$8*$E$8*$F$8/($F$4/2/PI()))))</f>
        <v>12975.137833153</v>
      </c>
      <c r="M84" s="133" t="n">
        <f aca="false">IF('Leistung u. Drehmoment'!M1="",L84,IF(($F$7=0),0,('Leistung u. Drehmoment'!M$4*$D$7/$C$7*$E$7*$F$7*$C$8*$E$8*$F$8/($F$4/2/PI()))))</f>
        <v>12975.137833153</v>
      </c>
    </row>
    <row r="85" customFormat="false" ht="12.75" hidden="false" customHeight="false" outlineLevel="0" collapsed="false">
      <c r="A85" s="131" t="s">
        <v>54</v>
      </c>
      <c r="B85" s="131"/>
      <c r="C85" s="132" t="n">
        <f aca="false">IF('Leistung u. Drehmoment'!C1="",0,IF(($G$7&lt;=0),0,(3.6*$F$4*'Leistung u. Drehmoment'!C$1/($D$7/$C$7*$E$7*$G$7*60))))</f>
        <v>13.3661358888363</v>
      </c>
      <c r="D85" s="132" t="n">
        <f aca="false">IF('Leistung u. Drehmoment'!D1="",C85,IF(($G$7&lt;=0),0,(3.6*$F$4*'Leistung u. Drehmoment'!D$1/($D$7/$C$7*$E$7*$G$7*60))))</f>
        <v>26.7322717776725</v>
      </c>
      <c r="E85" s="132" t="n">
        <f aca="false">IF('Leistung u. Drehmoment'!E1="",D85,IF(($G$7&lt;=0),0,(3.6*$F$4*'Leistung u. Drehmoment'!E$1/($D$7/$C$7*$E$7*$G$7*60))))</f>
        <v>40.0984076665088</v>
      </c>
      <c r="F85" s="132" t="n">
        <f aca="false">IF('Leistung u. Drehmoment'!F1="",E85,IF(($G$7&lt;=0),0,(3.6*$F$4*'Leistung u. Drehmoment'!F$1/($D$7/$C$7*$E$7*$G$7*60))))</f>
        <v>53.4645435553451</v>
      </c>
      <c r="G85" s="132" t="n">
        <f aca="false">IF('Leistung u. Drehmoment'!G1="",F85,IF(($G$7&lt;=0),0,(3.6*$F$4*'Leistung u. Drehmoment'!G$1/($D$7/$C$7*$E$7*$G$7*60))))</f>
        <v>65.4940658552977</v>
      </c>
      <c r="H85" s="132" t="n">
        <f aca="false">IF('Leistung u. Drehmoment'!H1="",G85,IF(($G$7&lt;=0),0,(3.6*$F$4*'Leistung u. Drehmoment'!H$1/($D$7/$C$7*$E$7*$G$7*60))))</f>
        <v>80.1968153330176</v>
      </c>
      <c r="I85" s="132" t="n">
        <f aca="false">IF('Leistung u. Drehmoment'!I1="",H85,IF(($G$7&lt;=0),0,(3.6*$F$4*'Leistung u. Drehmoment'!I$1/($D$7/$C$7*$E$7*$G$7*60))))</f>
        <v>93.5629512218539</v>
      </c>
      <c r="J85" s="132" t="n">
        <f aca="false">IF('Leistung u. Drehmoment'!J1="",I85,IF(($G$7&lt;=0),0,(3.6*$F$4*'Leistung u. Drehmoment'!J$1/($D$7/$C$7*$E$7*$G$7*60))))</f>
        <v>105.592473521807</v>
      </c>
      <c r="K85" s="132" t="n">
        <f aca="false">IF('Leistung u. Drehmoment'!K1="",J85,IF(($G$7&lt;=0),0,(3.6*$F$4*'Leistung u. Drehmoment'!K$1/($D$7/$C$7*$E$7*$G$7*60))))</f>
        <v>106.92908711069</v>
      </c>
      <c r="L85" s="132" t="n">
        <f aca="false">IF('Leistung u. Drehmoment'!L1="",K85,IF(($G$7&lt;=0),0,(3.6*$F$4*'Leistung u. Drehmoment'!L$1/($D$7/$C$7*$E$7*$G$7*60))))</f>
        <v>106.92908711069</v>
      </c>
      <c r="M85" s="133" t="n">
        <f aca="false">IF('Leistung u. Drehmoment'!M1="",L85,IF(($G$7&lt;=0),0,(3.6*$F$4*'Leistung u. Drehmoment'!M$1/($D$7/$C$7*$E$7*$G$7*60))))</f>
        <v>106.92908711069</v>
      </c>
    </row>
    <row r="86" customFormat="false" ht="12.75" hidden="false" customHeight="false" outlineLevel="0" collapsed="false">
      <c r="A86" s="131" t="s">
        <v>55</v>
      </c>
      <c r="B86" s="131"/>
      <c r="C86" s="132" t="n">
        <f aca="false">IF('Leistung u. Drehmoment'!C1="",0,IF(($G$7=0),0,('Leistung u. Drehmoment'!C$4*$D$7/$C$7*$E$7*$G$7*$C$8*$E$8*$G$8/($F$4/2/PI()))))</f>
        <v>6181.8020289856</v>
      </c>
      <c r="D86" s="132" t="n">
        <f aca="false">IF('Leistung u. Drehmoment'!D1="",C86,IF(($G$7=0),0,('Leistung u. Drehmoment'!D$4*$D$7/$C$7*$E$7*$G$7*$C$8*$E$8*$G$8/($F$4/2/PI()))))</f>
        <v>7219.9862601926</v>
      </c>
      <c r="E86" s="132" t="n">
        <f aca="false">IF('Leistung u. Drehmoment'!E1="",D86,IF(($G$7=0),0,('Leistung u. Drehmoment'!E$4*$D$7/$C$7*$E$7*$G$7*$C$8*$E$8*$G$8/($F$4/2/PI()))))</f>
        <v>8091.36391228481</v>
      </c>
      <c r="F86" s="132" t="n">
        <f aca="false">IF('Leistung u. Drehmoment'!F1="",E86,IF(($G$7=0),0,('Leistung u. Drehmoment'!F$4*$D$7/$C$7*$E$7*$G$7*$C$8*$E$8*$G$8/($F$4/2/PI()))))</f>
        <v>8838.25904264957</v>
      </c>
      <c r="G86" s="132" t="n">
        <f aca="false">IF('Leistung u. Drehmoment'!G1="",F86,IF(($G$7=0),0,('Leistung u. Drehmoment'!G$4*$D$7/$C$7*$E$7*$G$7*$C$8*$E$8*$G$8/($F$4/2/PI()))))</f>
        <v>9211.70660783194</v>
      </c>
      <c r="H86" s="132" t="n">
        <f aca="false">IF('Leistung u. Drehmoment'!H1="",G86,IF(($G$7=0),0,('Leistung u. Drehmoment'!H$4*$D$7/$C$7*$E$7*$G$7*$C$8*$E$8*$G$8/($F$4/2/PI()))))</f>
        <v>8962.74156437703</v>
      </c>
      <c r="I86" s="132" t="n">
        <f aca="false">IF('Leistung u. Drehmoment'!I1="",H86,IF(($G$7=0),0,('Leistung u. Drehmoment'!I$4*$D$7/$C$7*$E$7*$G$7*$C$8*$E$8*$G$8/($F$4/2/PI()))))</f>
        <v>8589.29399919465</v>
      </c>
      <c r="J86" s="132" t="n">
        <f aca="false">IF('Leistung u. Drehmoment'!J1="",I86,IF(($G$7=0),0,('Leistung u. Drehmoment'!J$4*$D$7/$C$7*$E$7*$G$7*$C$8*$E$8*$G$8/($F$4/2/PI()))))</f>
        <v>7975.54789523459</v>
      </c>
      <c r="K86" s="132" t="n">
        <f aca="false">IF('Leistung u. Drehmoment'!K1="",J86,IF(($G$7=0),0,('Leistung u. Drehmoment'!K$4*$D$7/$C$7*$E$7*$G$7*$C$8*$E$8*$G$8/($F$4/2/PI()))))</f>
        <v>7846.13334448172</v>
      </c>
      <c r="L86" s="132" t="n">
        <f aca="false">IF('Leistung u. Drehmoment'!L1="",K86,IF(($G$7=0),0,('Leistung u. Drehmoment'!L$4*$D$7/$C$7*$E$7*$G$7*$C$8*$E$8*$G$8/($F$4/2/PI()))))</f>
        <v>7846.13334448172</v>
      </c>
      <c r="M86" s="133" t="n">
        <f aca="false">IF('Leistung u. Drehmoment'!M1="",L86,IF(($G$7=0),0,('Leistung u. Drehmoment'!M$4*$D$7/$C$7*$E$7*$G$7*$C$8*$E$8*$G$8/($F$4/2/PI()))))</f>
        <v>7846.13334448172</v>
      </c>
    </row>
    <row r="87" customFormat="false" ht="12.75" hidden="false" customHeight="false" outlineLevel="0" collapsed="false">
      <c r="A87" s="131" t="s">
        <v>56</v>
      </c>
      <c r="B87" s="131"/>
      <c r="C87" s="132" t="n">
        <f aca="false">IF('Leistung u. Drehmoment'!C1="",0,IF(($H$7&lt;=0),0,(3.6*$F$4*'Leistung u. Drehmoment'!C$1/($D$7/$C$7*$E$7*$H$7*60))))</f>
        <v>20.2454113403104</v>
      </c>
      <c r="D87" s="132" t="n">
        <f aca="false">IF('Leistung u. Drehmoment'!D1="",C87,IF(($H$7&lt;=0),0,(3.6*$F$4*'Leistung u. Drehmoment'!D$1/($D$7/$C$7*$E$7*$H$7*60))))</f>
        <v>40.4908226806208</v>
      </c>
      <c r="E87" s="132" t="n">
        <f aca="false">IF('Leistung u. Drehmoment'!E1="",D87,IF(($H$7&lt;=0),0,(3.6*$F$4*'Leistung u. Drehmoment'!E$1/($D$7/$C$7*$E$7*$H$7*60))))</f>
        <v>60.7362340209313</v>
      </c>
      <c r="F87" s="132" t="n">
        <f aca="false">IF('Leistung u. Drehmoment'!F1="",E87,IF(($H$7&lt;=0),0,(3.6*$F$4*'Leistung u. Drehmoment'!F$1/($D$7/$C$7*$E$7*$H$7*60))))</f>
        <v>80.9816453612417</v>
      </c>
      <c r="G87" s="132" t="n">
        <f aca="false">IF('Leistung u. Drehmoment'!G1="",F87,IF(($H$7&lt;=0),0,(3.6*$F$4*'Leistung u. Drehmoment'!G$1/($D$7/$C$7*$E$7*$H$7*60))))</f>
        <v>99.2025155675211</v>
      </c>
      <c r="H87" s="132" t="n">
        <f aca="false">IF('Leistung u. Drehmoment'!H1="",G87,IF(($H$7&lt;=0),0,(3.6*$F$4*'Leistung u. Drehmoment'!H$1/($D$7/$C$7*$E$7*$H$7*60))))</f>
        <v>121.472468041863</v>
      </c>
      <c r="I87" s="132" t="n">
        <f aca="false">IF('Leistung u. Drehmoment'!I1="",H87,IF(($H$7&lt;=0),0,(3.6*$F$4*'Leistung u. Drehmoment'!I$1/($D$7/$C$7*$E$7*$H$7*60))))</f>
        <v>141.717879382173</v>
      </c>
      <c r="J87" s="132" t="n">
        <f aca="false">IF('Leistung u. Drehmoment'!J1="",I87,IF(($H$7&lt;=0),0,(3.6*$F$4*'Leistung u. Drehmoment'!J$1/($D$7/$C$7*$E$7*$H$7*60))))</f>
        <v>159.938749588452</v>
      </c>
      <c r="K87" s="132" t="n">
        <f aca="false">IF('Leistung u. Drehmoment'!K1="",J87,IF(($H$7&lt;=0),0,(3.6*$F$4*'Leistung u. Drehmoment'!K$1/($D$7/$C$7*$E$7*$H$7*60))))</f>
        <v>161.963290722483</v>
      </c>
      <c r="L87" s="132" t="n">
        <f aca="false">IF('Leistung u. Drehmoment'!L1="",K87,IF(($H$7&lt;=0),0,(3.6*$F$4*'Leistung u. Drehmoment'!L$1/($D$7/$C$7*$E$7*$H$7*60))))</f>
        <v>161.963290722483</v>
      </c>
      <c r="M87" s="133" t="n">
        <f aca="false">IF('Leistung u. Drehmoment'!M1="",L87,IF(($H$7&lt;=0),0,(3.6*$F$4*'Leistung u. Drehmoment'!M$1/($D$7/$C$7*$E$7*$H$7*60))))</f>
        <v>161.963290722483</v>
      </c>
    </row>
    <row r="88" customFormat="false" ht="12.75" hidden="false" customHeight="false" outlineLevel="0" collapsed="false">
      <c r="A88" s="131" t="s">
        <v>57</v>
      </c>
      <c r="B88" s="131"/>
      <c r="C88" s="132" t="n">
        <f aca="false">IF('Leistung u. Drehmoment'!C1="",0,IF(($H$7=0),0,('Leistung u. Drehmoment'!C$4*$D$7/$C$7*$E$7*$H$7*$C$8*$E$8*$H$8/($F$4/2/PI()))))</f>
        <v>4170.95895436195</v>
      </c>
      <c r="D88" s="132" t="n">
        <f aca="false">IF('Leistung u. Drehmoment'!D1="",C88,IF(($H$7=0),0,('Leistung u. Drehmoment'!D$4*$D$7/$C$7*$E$7*$H$7*$C$8*$E$8*$H$8/($F$4/2/PI()))))</f>
        <v>4871.43816659269</v>
      </c>
      <c r="E88" s="132" t="n">
        <f aca="false">IF('Leistung u. Drehmoment'!E1="",D88,IF(($H$7=0),0,('Leistung u. Drehmoment'!E$4*$D$7/$C$7*$E$7*$H$7*$C$8*$E$8*$H$8/($F$4/2/PI()))))</f>
        <v>5459.3703591125</v>
      </c>
      <c r="F88" s="132" t="n">
        <f aca="false">IF('Leistung u. Drehmoment'!F1="",E88,IF(($H$7=0),0,('Leistung u. Drehmoment'!F$4*$D$7/$C$7*$E$7*$H$7*$C$8*$E$8*$H$8/($F$4/2/PI()))))</f>
        <v>5963.31223841519</v>
      </c>
      <c r="G88" s="132" t="n">
        <f aca="false">IF('Leistung u. Drehmoment'!G1="",F88,IF(($H$7=0),0,('Leistung u. Drehmoment'!G$4*$D$7/$C$7*$E$7*$H$7*$C$8*$E$8*$H$8/($F$4/2/PI()))))</f>
        <v>6215.28317806654</v>
      </c>
      <c r="H88" s="132" t="n">
        <f aca="false">IF('Leistung u. Drehmoment'!H1="",G88,IF(($H$7=0),0,('Leistung u. Drehmoment'!H$4*$D$7/$C$7*$E$7*$H$7*$C$8*$E$8*$H$8/($F$4/2/PI()))))</f>
        <v>6047.30255163231</v>
      </c>
      <c r="I88" s="132" t="n">
        <f aca="false">IF('Leistung u. Drehmoment'!I1="",H88,IF(($H$7=0),0,('Leistung u. Drehmoment'!I$4*$D$7/$C$7*$E$7*$H$7*$C$8*$E$8*$H$8/($F$4/2/PI()))))</f>
        <v>5795.33161198096</v>
      </c>
      <c r="J88" s="132" t="n">
        <f aca="false">IF('Leistung u. Drehmoment'!J1="",I88,IF(($H$7=0),0,('Leistung u. Drehmoment'!J$4*$D$7/$C$7*$E$7*$H$7*$C$8*$E$8*$H$8/($F$4/2/PI()))))</f>
        <v>5381.22747276493</v>
      </c>
      <c r="K88" s="132" t="n">
        <f aca="false">IF('Leistung u. Drehmoment'!K1="",J88,IF(($H$7=0),0,('Leistung u. Drehmoment'!K$4*$D$7/$C$7*$E$7*$H$7*$C$8*$E$8*$H$8/($F$4/2/PI()))))</f>
        <v>5293.90944207478</v>
      </c>
      <c r="L88" s="132" t="n">
        <f aca="false">IF('Leistung u. Drehmoment'!L1="",K88,IF(($H$7=0),0,('Leistung u. Drehmoment'!L$4*$D$7/$C$7*$E$7*$H$7*$C$8*$E$8*$H$8/($F$4/2/PI()))))</f>
        <v>5293.90944207478</v>
      </c>
      <c r="M88" s="133" t="n">
        <f aca="false">IF('Leistung u. Drehmoment'!M1="",L88,IF(($H$7=0),0,('Leistung u. Drehmoment'!M$4*$D$7/$C$7*$E$7*$H$7*$C$8*$E$8*$H$8/($F$4/2/PI()))))</f>
        <v>5293.90944207478</v>
      </c>
    </row>
    <row r="89" customFormat="false" ht="12.75" hidden="false" customHeight="false" outlineLevel="0" collapsed="false">
      <c r="A89" s="131" t="s">
        <v>58</v>
      </c>
      <c r="B89" s="131"/>
      <c r="C89" s="132" t="n">
        <f aca="false">IF('Leistung u. Drehmoment'!C1="",0,IF(($I$7&lt;=0),0,(3.6*$F$4*'Leistung u. Drehmoment'!C$1/($D$7/$C$7*$E$7*$I$7*60))))</f>
        <v>27.5608413760017</v>
      </c>
      <c r="D89" s="132" t="n">
        <f aca="false">IF('Leistung u. Drehmoment'!D1="",C89,IF(($I$7&lt;=0),0,(3.6*$F$4*'Leistung u. Drehmoment'!D$1/($D$7/$C$7*$E$7*$I$7*60))))</f>
        <v>55.1216827520034</v>
      </c>
      <c r="E89" s="132" t="n">
        <f aca="false">IF('Leistung u. Drehmoment'!E1="",D89,IF(($I$7&lt;=0),0,(3.6*$F$4*'Leistung u. Drehmoment'!E$1/($D$7/$C$7*$E$7*$I$7*60))))</f>
        <v>82.6825241280051</v>
      </c>
      <c r="F89" s="132" t="n">
        <f aca="false">IF('Leistung u. Drehmoment'!F1="",E89,IF(($I$7&lt;=0),0,(3.6*$F$4*'Leistung u. Drehmoment'!F$1/($D$7/$C$7*$E$7*$I$7*60))))</f>
        <v>110.243365504007</v>
      </c>
      <c r="G89" s="132" t="n">
        <f aca="false">IF('Leistung u. Drehmoment'!G1="",F89,IF(($I$7&lt;=0),0,(3.6*$F$4*'Leistung u. Drehmoment'!G$1/($D$7/$C$7*$E$7*$I$7*60))))</f>
        <v>135.048122742408</v>
      </c>
      <c r="H89" s="132" t="n">
        <f aca="false">IF('Leistung u. Drehmoment'!H1="",G89,IF(($I$7&lt;=0),0,(3.6*$F$4*'Leistung u. Drehmoment'!H$1/($D$7/$C$7*$E$7*$I$7*60))))</f>
        <v>165.36504825601</v>
      </c>
      <c r="I89" s="132" t="n">
        <f aca="false">IF('Leistung u. Drehmoment'!I1="",H89,IF(($I$7&lt;=0),0,(3.6*$F$4*'Leistung u. Drehmoment'!I$1/($D$7/$C$7*$E$7*$I$7*60))))</f>
        <v>192.925889632012</v>
      </c>
      <c r="J89" s="132" t="n">
        <f aca="false">IF('Leistung u. Drehmoment'!J1="",I89,IF(($I$7&lt;=0),0,(3.6*$F$4*'Leistung u. Drehmoment'!J$1/($D$7/$C$7*$E$7*$I$7*60))))</f>
        <v>217.730646870413</v>
      </c>
      <c r="K89" s="132" t="n">
        <f aca="false">IF('Leistung u. Drehmoment'!K1="",J89,IF(($I$7&lt;=0),0,(3.6*$F$4*'Leistung u. Drehmoment'!K$1/($D$7/$C$7*$E$7*$I$7*60))))</f>
        <v>220.486731008014</v>
      </c>
      <c r="L89" s="132" t="n">
        <f aca="false">IF('Leistung u. Drehmoment'!L1="",K89,IF(($I$7&lt;=0),0,(3.6*$F$4*'Leistung u. Drehmoment'!L$1/($D$7/$C$7*$E$7*$I$7*60))))</f>
        <v>220.486731008014</v>
      </c>
      <c r="M89" s="133" t="n">
        <f aca="false">IF('Leistung u. Drehmoment'!M1="",L89,IF(($I$7&lt;=0),0,(3.6*$F$4*'Leistung u. Drehmoment'!M$1/($D$7/$C$7*$E$7*$I$7*60))))</f>
        <v>220.486731008014</v>
      </c>
    </row>
    <row r="90" customFormat="false" ht="12.75" hidden="false" customHeight="false" outlineLevel="0" collapsed="false">
      <c r="A90" s="131" t="s">
        <v>59</v>
      </c>
      <c r="B90" s="131"/>
      <c r="C90" s="132" t="n">
        <f aca="false">IF('Leistung u. Drehmoment'!C1="",0,IF(($I$7=0),0,('Leistung u. Drehmoment'!C$4*$D$7/$C$7*$E$7*$C$8*$E$8*$I$7*$I$8/($F$4/2/PI()))))</f>
        <v>3129.75762586918</v>
      </c>
      <c r="D90" s="132" t="n">
        <f aca="false">IF('Leistung u. Drehmoment'!D1="",C90,IF(($I$7=0),0,('Leistung u. Drehmoment'!D$4*$D$7/$C$7*$E$7*$C$8*$E$8*$I$7*$I$8/($F$4/2/PI()))))</f>
        <v>3655.37539871954</v>
      </c>
      <c r="E90" s="132" t="n">
        <f aca="false">IF('Leistung u. Drehmoment'!E1="",D90,IF(($I$7=0),0,('Leistung u. Drehmoment'!E$4*$D$7/$C$7*$E$7*$C$8*$E$8*$I$7*$I$8/($F$4/2/PI()))))</f>
        <v>4096.54139511673</v>
      </c>
      <c r="F90" s="132" t="n">
        <f aca="false">IF('Leistung u. Drehmoment'!F1="",E90,IF(($I$7=0),0,('Leistung u. Drehmoment'!F$4*$D$7/$C$7*$E$7*$C$8*$E$8*$I$7*$I$8/($F$4/2/PI()))))</f>
        <v>4474.68367774289</v>
      </c>
      <c r="G90" s="132" t="n">
        <f aca="false">IF('Leistung u. Drehmoment'!G1="",F90,IF(($I$7=0),0,('Leistung u. Drehmoment'!G$4*$D$7/$C$7*$E$7*$C$8*$E$8*$I$7*$I$8/($F$4/2/PI()))))</f>
        <v>4663.75481905597</v>
      </c>
      <c r="H90" s="132" t="n">
        <f aca="false">IF('Leistung u. Drehmoment'!H1="",G90,IF(($I$7=0),0,('Leistung u. Drehmoment'!H$4*$D$7/$C$7*$E$7*$C$8*$E$8*$I$7*$I$8/($F$4/2/PI()))))</f>
        <v>4537.70739151391</v>
      </c>
      <c r="I90" s="132" t="n">
        <f aca="false">IF('Leistung u. Drehmoment'!I1="",H90,IF(($I$7=0),0,('Leistung u. Drehmoment'!I$4*$D$7/$C$7*$E$7*$C$8*$E$8*$I$7*$I$8/($F$4/2/PI()))))</f>
        <v>4348.63625020083</v>
      </c>
      <c r="J90" s="132" t="n">
        <f aca="false">IF('Leistung u. Drehmoment'!J1="",I90,IF(($I$7=0),0,('Leistung u. Drehmoment'!J$4*$D$7/$C$7*$E$7*$C$8*$E$8*$I$7*$I$8/($F$4/2/PI()))))</f>
        <v>4037.90540825381</v>
      </c>
      <c r="K90" s="132" t="n">
        <f aca="false">IF('Leistung u. Drehmoment'!K1="",J90,IF(($I$7=0),0,('Leistung u. Drehmoment'!K$4*$D$7/$C$7*$E$7*$C$8*$E$8*$I$7*$I$8/($F$4/2/PI()))))</f>
        <v>3972.3846789878</v>
      </c>
      <c r="L90" s="132" t="n">
        <f aca="false">IF('Leistung u. Drehmoment'!L1="",K90,IF(($I$7=0),0,('Leistung u. Drehmoment'!L$4*$D$7/$C$7*$E$7*$C$8*$E$8*$I$7*$I$8/($F$4/2/PI()))))</f>
        <v>3972.3846789878</v>
      </c>
      <c r="M90" s="133" t="n">
        <f aca="false">IF('Leistung u. Drehmoment'!M1="",L90,IF(($I$7=0),0,('Leistung u. Drehmoment'!M$4*$D$7/$C$7*$E$7*$C$8*$E$8*$I$7*$I$8/($F$4/2/PI()))))</f>
        <v>3972.3846789878</v>
      </c>
    </row>
    <row r="91" customFormat="false" ht="12.75" hidden="false" customHeight="false" outlineLevel="0" collapsed="false">
      <c r="A91" s="131" t="s">
        <v>60</v>
      </c>
      <c r="B91" s="131"/>
      <c r="C91" s="132" t="n">
        <f aca="false">IF('Leistung u. Drehmoment'!C1="",0,IF(($J$7&lt;=0),0,(3.6*$F$4*'Leistung u. Drehmoment'!C$1/($D$7/$C$7*$E$7*$J$7*60))))</f>
        <v>33.7895915269781</v>
      </c>
      <c r="D91" s="132" t="n">
        <f aca="false">IF('Leistung u. Drehmoment'!D1="",C91,IF(($J$7&lt;=0),0,(3.6*$F$4*'Leistung u. Drehmoment'!D$1/($D$7/$C$7*$E$7*$J$7*60))))</f>
        <v>67.5791830539562</v>
      </c>
      <c r="E91" s="132" t="n">
        <f aca="false">IF('Leistung u. Drehmoment'!E1="",D91,IF(($J$7&lt;=0),0,(3.6*$F$4*'Leistung u. Drehmoment'!E$1/($D$7/$C$7*$E$7*$J$7*60))))</f>
        <v>101.368774580934</v>
      </c>
      <c r="F91" s="132" t="n">
        <f aca="false">IF('Leistung u. Drehmoment'!F1="",E91,IF(($J$7&lt;=0),0,(3.6*$F$4*'Leistung u. Drehmoment'!F$1/($D$7/$C$7*$E$7*$J$7*60))))</f>
        <v>135.158366107912</v>
      </c>
      <c r="G91" s="132" t="n">
        <f aca="false">IF('Leistung u. Drehmoment'!G1="",F91,IF(($J$7&lt;=0),0,(3.6*$F$4*'Leistung u. Drehmoment'!G$1/($D$7/$C$7*$E$7*$J$7*60))))</f>
        <v>165.568998482193</v>
      </c>
      <c r="H91" s="132" t="n">
        <f aca="false">IF('Leistung u. Drehmoment'!H1="",G91,IF(($J$7&lt;=0),0,(3.6*$F$4*'Leistung u. Drehmoment'!H$1/($D$7/$C$7*$E$7*$J$7*60))))</f>
        <v>202.737549161869</v>
      </c>
      <c r="I91" s="132" t="n">
        <f aca="false">IF('Leistung u. Drehmoment'!I1="",H91,IF(($J$7&lt;=0),0,(3.6*$F$4*'Leistung u. Drehmoment'!I$1/($D$7/$C$7*$E$7*$J$7*60))))</f>
        <v>236.527140688847</v>
      </c>
      <c r="J91" s="132" t="n">
        <f aca="false">IF('Leistung u. Drehmoment'!J1="",I91,IF(($J$7&lt;=0),0,(3.6*$F$4*'Leistung u. Drehmoment'!J$1/($D$7/$C$7*$E$7*$J$7*60))))</f>
        <v>266.937773063127</v>
      </c>
      <c r="K91" s="132" t="n">
        <f aca="false">IF('Leistung u. Drehmoment'!K1="",J91,IF(($J$7&lt;=0),0,(3.6*$F$4*'Leistung u. Drehmoment'!K$1/($D$7/$C$7*$E$7*$J$7*60))))</f>
        <v>270.316732215825</v>
      </c>
      <c r="L91" s="132" t="n">
        <f aca="false">IF('Leistung u. Drehmoment'!L1="",K91,IF(($J$7&lt;=0),0,(3.6*$F$4*'Leistung u. Drehmoment'!L$1/($D$7/$C$7*$E$7*$J$7*60))))</f>
        <v>270.316732215825</v>
      </c>
      <c r="M91" s="133" t="n">
        <f aca="false">IF('Leistung u. Drehmoment'!M1="",L91,IF(($J$7&lt;=0),0,(3.6*$F$4*'Leistung u. Drehmoment'!M$1/($D$7/$C$7*$E$7*$J$7*60))))</f>
        <v>270.316732215825</v>
      </c>
    </row>
    <row r="92" customFormat="false" ht="12.75" hidden="false" customHeight="false" outlineLevel="0" collapsed="false">
      <c r="A92" s="131" t="s">
        <v>61</v>
      </c>
      <c r="B92" s="131"/>
      <c r="C92" s="132" t="n">
        <f aca="false">IF('Leistung u. Drehmoment'!C1="",0,IF(($J$7=0),0,('Leistung u. Drehmoment'!C$4*$D$7/$C$7*$E$7*$C$8*$E$8*$J$7*$J$8/($F$4/2/PI()))))</f>
        <v>2633.43562578501</v>
      </c>
      <c r="D92" s="132" t="n">
        <f aca="false">IF('Leistung u. Drehmoment'!D1="",C92,IF(($J$7=0),0,('Leistung u. Drehmoment'!D$4*$D$7/$C$7*$E$7*$C$8*$E$8*$J$7*$J$8/($F$4/2/PI()))))</f>
        <v>3075.7000864988</v>
      </c>
      <c r="E92" s="132" t="n">
        <f aca="false">IF('Leistung u. Drehmoment'!E1="",D92,IF(($J$7=0),0,('Leistung u. Drehmoment'!E$4*$D$7/$C$7*$E$7*$C$8*$E$8*$J$7*$J$8/($F$4/2/PI()))))</f>
        <v>3446.9052693521</v>
      </c>
      <c r="F92" s="132" t="n">
        <f aca="false">IF('Leistung u. Drehmoment'!F1="",E92,IF(($J$7=0),0,('Leistung u. Drehmoment'!F$4*$D$7/$C$7*$E$7*$C$8*$E$8*$J$7*$J$8/($F$4/2/PI()))))</f>
        <v>3765.08114036922</v>
      </c>
      <c r="G92" s="132" t="n">
        <f aca="false">IF('Leistung u. Drehmoment'!G1="",F92,IF(($J$7=0),0,('Leistung u. Drehmoment'!G$4*$D$7/$C$7*$E$7*$C$8*$E$8*$J$7*$J$8/($F$4/2/PI()))))</f>
        <v>3924.16907587778</v>
      </c>
      <c r="H92" s="132" t="n">
        <f aca="false">IF('Leistung u. Drehmoment'!H1="",G92,IF(($J$7=0),0,('Leistung u. Drehmoment'!H$4*$D$7/$C$7*$E$7*$C$8*$E$8*$J$7*$J$8/($F$4/2/PI()))))</f>
        <v>3818.1104522054</v>
      </c>
      <c r="I92" s="132" t="n">
        <f aca="false">IF('Leistung u. Drehmoment'!I1="",H92,IF(($J$7=0),0,('Leistung u. Drehmoment'!I$4*$D$7/$C$7*$E$7*$C$8*$E$8*$J$7*$J$8/($F$4/2/PI()))))</f>
        <v>3659.02251669685</v>
      </c>
      <c r="J92" s="132" t="n">
        <f aca="false">IF('Leistung u. Drehmoment'!J1="",I92,IF(($J$7=0),0,('Leistung u. Drehmoment'!J$4*$D$7/$C$7*$E$7*$C$8*$E$8*$J$7*$J$8/($F$4/2/PI()))))</f>
        <v>3397.56787163109</v>
      </c>
      <c r="K92" s="132" t="n">
        <f aca="false">IF('Leistung u. Drehmoment'!K1="",J92,IF(($J$7=0),0,('Leistung u. Drehmoment'!K$4*$D$7/$C$7*$E$7*$C$8*$E$8*$J$7*$J$8/($F$4/2/PI()))))</f>
        <v>3342.43752503481</v>
      </c>
      <c r="L92" s="132" t="n">
        <f aca="false">IF('Leistung u. Drehmoment'!L1="",K92,IF(($J$7=0),0,('Leistung u. Drehmoment'!L$4*$D$7/$C$7*$E$7*$C$8*$E$8*$J$7*$J$8/($F$4/2/PI()))))</f>
        <v>3342.43752503481</v>
      </c>
      <c r="M92" s="133" t="n">
        <f aca="false">IF('Leistung u. Drehmoment'!M1="",L92,IF(($J$7=0),0,('Leistung u. Drehmoment'!M$4*$D$7/$C$7*$E$7*$C$8*$E$8*$J$7*$J$8/($F$4/2/PI()))))</f>
        <v>3342.43752503481</v>
      </c>
    </row>
    <row r="93" customFormat="false" ht="12.75" hidden="false" customHeight="false" outlineLevel="0" collapsed="false">
      <c r="A93" s="131" t="s">
        <v>62</v>
      </c>
      <c r="B93" s="131"/>
      <c r="C93" s="132" t="n">
        <f aca="false">IF('Leistung u. Drehmoment'!C1="",0,IF(($K$7&lt;=0),0,(3.6*$F$4*'Leistung u. Drehmoment'!C$1/($D$7/$C$7*$E$7*$K$7*60))))</f>
        <v>40.8086854190557</v>
      </c>
      <c r="D93" s="132" t="n">
        <f aca="false">IF('Leistung u. Drehmoment'!D1="",C93,IF(($K$7&lt;=0),0,(3.6*$F$4*'Leistung u. Drehmoment'!D$1/($D$7/$C$7*$E$7*$K$7*60))))</f>
        <v>81.6173708381113</v>
      </c>
      <c r="E93" s="132" t="n">
        <f aca="false">IF('Leistung u. Drehmoment'!E1="",D93,IF(($K$7&lt;=0),0,(3.6*$F$4*'Leistung u. Drehmoment'!E$1/($D$7/$C$7*$E$7*$K$7*60))))</f>
        <v>122.426056257167</v>
      </c>
      <c r="F93" s="132" t="n">
        <f aca="false">IF('Leistung u. Drehmoment'!F1="",E93,IF(($K$7&lt;=0),0,(3.6*$F$4*'Leistung u. Drehmoment'!F$1/($D$7/$C$7*$E$7*$K$7*60))))</f>
        <v>163.234741676223</v>
      </c>
      <c r="G93" s="132" t="n">
        <f aca="false">IF('Leistung u. Drehmoment'!G1="",F93,IF(($K$7&lt;=0),0,(3.6*$F$4*'Leistung u. Drehmoment'!G$1/($D$7/$C$7*$E$7*$K$7*60))))</f>
        <v>199.962558553373</v>
      </c>
      <c r="H93" s="132" t="n">
        <f aca="false">IF('Leistung u. Drehmoment'!H1="",G93,IF(($K$7&lt;=0),0,(3.6*$F$4*'Leistung u. Drehmoment'!H$1/($D$7/$C$7*$E$7*$K$7*60))))</f>
        <v>244.852112514334</v>
      </c>
      <c r="I93" s="132" t="n">
        <f aca="false">IF('Leistung u. Drehmoment'!I1="",H93,IF(($K$7&lt;=0),0,(3.6*$F$4*'Leistung u. Drehmoment'!I$1/($D$7/$C$7*$E$7*$K$7*60))))</f>
        <v>285.66079793339</v>
      </c>
      <c r="J93" s="132" t="n">
        <f aca="false">IF('Leistung u. Drehmoment'!J1="",I93,IF(($K$7&lt;=0),0,(3.6*$F$4*'Leistung u. Drehmoment'!J$1/($D$7/$C$7*$E$7*$K$7*60))))</f>
        <v>322.38861481054</v>
      </c>
      <c r="K93" s="132" t="n">
        <f aca="false">IF('Leistung u. Drehmoment'!K1="",J93,IF(($K$7&lt;=0),0,(3.6*$F$4*'Leistung u. Drehmoment'!K$1/($D$7/$C$7*$E$7*$K$7*60))))</f>
        <v>326.469483352445</v>
      </c>
      <c r="L93" s="132" t="n">
        <f aca="false">IF('Leistung u. Drehmoment'!L1="",K93,IF(($K$7&lt;=0),0,(3.6*$F$4*'Leistung u. Drehmoment'!L$1/($D$7/$C$7*$E$7*$K$7*60))))</f>
        <v>326.469483352445</v>
      </c>
      <c r="M93" s="133" t="n">
        <f aca="false">IF('Leistung u. Drehmoment'!M1="",L93,IF(($K$7&lt;=0),0,(3.6*$F$4*'Leistung u. Drehmoment'!M$1/($D$7/$C$7*$E$7*$K$7*60))))</f>
        <v>326.469483352445</v>
      </c>
    </row>
    <row r="94" customFormat="false" ht="12.75" hidden="false" customHeight="false" outlineLevel="0" collapsed="false">
      <c r="A94" s="131" t="s">
        <v>63</v>
      </c>
      <c r="B94" s="131"/>
      <c r="C94" s="132" t="n">
        <f aca="false">IF('Leistung u. Drehmoment'!C1="",0,IF(($K$7=0),0,('Leistung u. Drehmoment'!C$4*$D$7/$C$7*$E$7*$K$7*$C$8*$E$8*$K$8/($F$4/2/PI()))))</f>
        <v>2069.23547885662</v>
      </c>
      <c r="D94" s="132" t="n">
        <f aca="false">IF('Leistung u. Drehmoment'!D1="",C94,IF(($K$7=0),0,('Leistung u. Drehmoment'!D$4*$D$7/$C$7*$E$7*$K$7*$C$8*$E$8*$K$8/($F$4/2/PI()))))</f>
        <v>2416.74703531381</v>
      </c>
      <c r="E94" s="132" t="n">
        <f aca="false">IF('Leistung u. Drehmoment'!E1="",D94,IF(($K$7=0),0,('Leistung u. Drehmoment'!E$4*$D$7/$C$7*$E$7*$K$7*$C$8*$E$8*$K$8/($F$4/2/PI()))))</f>
        <v>2708.42340164479</v>
      </c>
      <c r="F94" s="132" t="n">
        <f aca="false">IF('Leistung u. Drehmoment'!F1="",E94,IF(($K$7=0),0,('Leistung u. Drehmoment'!F$4*$D$7/$C$7*$E$7*$K$7*$C$8*$E$8*$K$8/($F$4/2/PI()))))</f>
        <v>2958.43171564277</v>
      </c>
      <c r="G94" s="132" t="n">
        <f aca="false">IF('Leistung u. Drehmoment'!G1="",F94,IF(($K$7=0),0,('Leistung u. Drehmoment'!G$4*$D$7/$C$7*$E$7*$K$7*$C$8*$E$8*$K$8/($F$4/2/PI()))))</f>
        <v>3083.43587264176</v>
      </c>
      <c r="H94" s="132" t="n">
        <f aca="false">IF('Leistung u. Drehmoment'!H1="",G94,IF(($K$7=0),0,('Leistung u. Drehmoment'!H$4*$D$7/$C$7*$E$7*$K$7*$C$8*$E$8*$K$8/($F$4/2/PI()))))</f>
        <v>3000.09976797576</v>
      </c>
      <c r="I94" s="132" t="n">
        <f aca="false">IF('Leistung u. Drehmoment'!I1="",H94,IF(($K$7=0),0,('Leistung u. Drehmoment'!I$4*$D$7/$C$7*$E$7*$K$7*$C$8*$E$8*$K$8/($F$4/2/PI()))))</f>
        <v>2875.09561097677</v>
      </c>
      <c r="J94" s="132" t="n">
        <f aca="false">IF('Leistung u. Drehmoment'!J1="",I94,IF(($K$7=0),0,('Leistung u. Drehmoment'!J$4*$D$7/$C$7*$E$7*$K$7*$C$8*$E$8*$K$8/($F$4/2/PI()))))</f>
        <v>2669.65628966409</v>
      </c>
      <c r="K94" s="132" t="n">
        <f aca="false">IF('Leistung u. Drehmoment'!K1="",J94,IF(($K$7=0),0,('Leistung u. Drehmoment'!K$4*$D$7/$C$7*$E$7*$K$7*$C$8*$E$8*$K$8/($F$4/2/PI()))))</f>
        <v>2626.33733854878</v>
      </c>
      <c r="L94" s="132" t="n">
        <f aca="false">IF('Leistung u. Drehmoment'!L1="",K94,IF(($K$7=0),0,('Leistung u. Drehmoment'!L$4*$D$7/$C$7*$E$7*$K$7*$C$8*$E$8*$K$8/($F$4/2/PI()))))</f>
        <v>2626.33733854878</v>
      </c>
      <c r="M94" s="133" t="n">
        <f aca="false">IF('Leistung u. Drehmoment'!M1="",L94,IF(($K$7=0),0,('Leistung u. Drehmoment'!M$4*$D$7/$C$7*$E$7*$K$7*$C$8*$E$8*$K$8/($F$4/2/PI()))))</f>
        <v>2626.33733854878</v>
      </c>
    </row>
    <row r="95" customFormat="false" ht="12.75" hidden="false" customHeight="false" outlineLevel="0" collapsed="false">
      <c r="A95" s="131" t="s">
        <v>64</v>
      </c>
      <c r="B95" s="131"/>
      <c r="C95" s="132" t="n">
        <f aca="false">IF('Leistung u. Drehmoment'!C1="",0,IF(($L$7&lt;=0),0,(3.6*$F$4*'Leistung u. Drehmoment'!C$1/($D$7/$C$7*$E$7*$L$7*60))))</f>
        <v>0</v>
      </c>
      <c r="D95" s="132" t="n">
        <f aca="false">IF('Leistung u. Drehmoment'!D1="",C95,IF(($L$7&lt;=0),0,(3.6*$F$4*'Leistung u. Drehmoment'!D$1/($D$7/$C$7*$E$7*$L$7*60))))</f>
        <v>0</v>
      </c>
      <c r="E95" s="132" t="n">
        <f aca="false">IF('Leistung u. Drehmoment'!E1="",D95,IF(($L$7&lt;=0),0,(3.6*$F$4*'Leistung u. Drehmoment'!E$1/($D$7/$C$7*$E$7*$L$7*60))))</f>
        <v>0</v>
      </c>
      <c r="F95" s="132" t="n">
        <f aca="false">IF('Leistung u. Drehmoment'!F1="",E95,IF(($L$7&lt;=0),0,(3.6*$F$4*'Leistung u. Drehmoment'!F$1/($D$7/$C$7*$E$7*$L$7*60))))</f>
        <v>0</v>
      </c>
      <c r="G95" s="132" t="n">
        <f aca="false">IF('Leistung u. Drehmoment'!G1="",F95,IF(($L$7&lt;=0),0,(3.6*$F$4*'Leistung u. Drehmoment'!G$1/($D$7/$C$7*$E$7*$L$7*60))))</f>
        <v>0</v>
      </c>
      <c r="H95" s="132" t="n">
        <f aca="false">IF('Leistung u. Drehmoment'!H1="",G95,IF(($L$7&lt;=0),0,(3.6*$F$4*'Leistung u. Drehmoment'!H$1/($D$7/$C$7*$E$7*$L$7*60))))</f>
        <v>0</v>
      </c>
      <c r="I95" s="132" t="n">
        <f aca="false">IF('Leistung u. Drehmoment'!I1="",H95,IF(($L$7&lt;=0),0,(3.6*$F$4*'Leistung u. Drehmoment'!I$1/($D$7/$C$7*$E$7*$L$7*60))))</f>
        <v>0</v>
      </c>
      <c r="J95" s="132" t="n">
        <f aca="false">IF('Leistung u. Drehmoment'!J1="",I95,IF(($L$7&lt;=0),0,(3.6*$F$4*'Leistung u. Drehmoment'!J$1/($D$7/$C$7*$E$7*$L$7*60))))</f>
        <v>0</v>
      </c>
      <c r="K95" s="132" t="n">
        <f aca="false">IF('Leistung u. Drehmoment'!K1="",J95,IF(($L$7&lt;=0),0,(3.6*$F$4*'Leistung u. Drehmoment'!K$1/($D$7/$C$7*$E$7*$L$7*60))))</f>
        <v>0</v>
      </c>
      <c r="L95" s="132" t="n">
        <f aca="false">IF('Leistung u. Drehmoment'!L1="",K95,IF(($L$7&lt;=0),0,(3.6*$F$4*'Leistung u. Drehmoment'!L$1/($D$7/$C$7*$E$7*$L$7*60))))</f>
        <v>0</v>
      </c>
      <c r="M95" s="133" t="n">
        <f aca="false">IF('Leistung u. Drehmoment'!M1="",L95,IF(($L$7&lt;=0),0,(3.6*$F$4*'Leistung u. Drehmoment'!M$1/($D$7/$C$7*$E$7*$L$7*60))))</f>
        <v>0</v>
      </c>
    </row>
    <row r="96" customFormat="false" ht="13.5" hidden="false" customHeight="false" outlineLevel="0" collapsed="false">
      <c r="A96" s="134" t="s">
        <v>65</v>
      </c>
      <c r="B96" s="134"/>
      <c r="C96" s="135" t="n">
        <f aca="false">IF('Leistung u. Drehmoment'!C1="",0,IF(($L$7=0),0,('Leistung u. Drehmoment'!C$4*$D$7/$C$7*$E$7*$C$8*$E$8*$L$7*$L$8/($F$4/2/PI()))))</f>
        <v>0</v>
      </c>
      <c r="D96" s="135" t="n">
        <f aca="false">IF('Leistung u. Drehmoment'!D1="",C96,IF(($L$7=0),0,('Leistung u. Drehmoment'!D$4*$D$7/$C$7*$E$7*$C$8*$E$8*$L$7*$L$8/($F$4/2/PI()))))</f>
        <v>0</v>
      </c>
      <c r="E96" s="135" t="n">
        <f aca="false">IF('Leistung u. Drehmoment'!E1="",D96,IF(($L$7=0),0,('Leistung u. Drehmoment'!E$4*$D$7/$C$7*$E$7*$C$8*$E$8*$L$7*$L$8/($F$4/2/PI()))))</f>
        <v>0</v>
      </c>
      <c r="F96" s="135" t="n">
        <f aca="false">IF('Leistung u. Drehmoment'!F1="",E96,IF(($L$7=0),0,('Leistung u. Drehmoment'!F$4*$D$7/$C$7*$E$7*$C$8*$E$8*$L$7*$L$8/($F$4/2/PI()))))</f>
        <v>0</v>
      </c>
      <c r="G96" s="135" t="n">
        <f aca="false">IF('Leistung u. Drehmoment'!G1="",F96,IF(($L$7=0),0,('Leistung u. Drehmoment'!G$4*$D$7/$C$7*$E$7*$C$8*$E$8*$L$7*$L$8/($F$4/2/PI()))))</f>
        <v>0</v>
      </c>
      <c r="H96" s="135" t="n">
        <f aca="false">IF('Leistung u. Drehmoment'!H1="",G96,IF(($L$7=0),0,('Leistung u. Drehmoment'!H$4*$D$7/$C$7*$E$7*$C$8*$E$8*$L$7*$L$8/($F$4/2/PI()))))</f>
        <v>0</v>
      </c>
      <c r="I96" s="135" t="n">
        <f aca="false">IF('Leistung u. Drehmoment'!I1="",H96,IF(($L$7=0),0,('Leistung u. Drehmoment'!I$4*$D$7/$C$7*$E$7*$C$8*$E$8*$L$7*$L$8/($F$4/2/PI()))))</f>
        <v>0</v>
      </c>
      <c r="J96" s="135" t="n">
        <f aca="false">IF('Leistung u. Drehmoment'!J1="",I96,IF(($L$7=0),0,('Leistung u. Drehmoment'!J$4*$D$7/$C$7*$E$7*$C$8*$E$8*$L$7*$L$8/($F$4/2/PI()))))</f>
        <v>0</v>
      </c>
      <c r="K96" s="135" t="n">
        <f aca="false">IF('Leistung u. Drehmoment'!K1="",J96,IF(($L$7=0),0,('Leistung u. Drehmoment'!K$4*$D$7/$C$7*$E$7*$C$8*$E$8*$L$7*$L$8/($F$4/2/PI()))))</f>
        <v>0</v>
      </c>
      <c r="L96" s="135" t="n">
        <f aca="false">IF('Leistung u. Drehmoment'!L1="",K96,IF(($L$7=0),0,('Leistung u. Drehmoment'!L$4*$D$7/$C$7*$E$7*$C$8*$E$8*$L$7*$L$8/($F$4/2/PI()))))</f>
        <v>0</v>
      </c>
      <c r="M96" s="136" t="n">
        <f aca="false">IF('Leistung u. Drehmoment'!M1="",L96,IF(($L$7=0),0,('Leistung u. Drehmoment'!M$4*$D$7/$C$7*$E$7*$C$8*$E$8*$L$7*$L$8/($F$4/2/PI()))))</f>
        <v>0</v>
      </c>
    </row>
    <row r="97" customFormat="false" ht="13.5" hidden="false" customHeight="false" outlineLevel="0" collapsed="false">
      <c r="A97" s="137"/>
      <c r="B97" s="137"/>
      <c r="C97" s="137"/>
      <c r="D97" s="137"/>
      <c r="E97" s="138"/>
      <c r="F97" s="138"/>
      <c r="G97" s="138"/>
      <c r="H97" s="138"/>
      <c r="I97" s="138"/>
      <c r="J97" s="138"/>
      <c r="K97" s="138"/>
      <c r="L97" s="138"/>
      <c r="M97" s="138"/>
      <c r="N97" s="138"/>
      <c r="O97" s="138"/>
    </row>
    <row r="98" customFormat="false" ht="15.75" hidden="false" customHeight="false" outlineLevel="0" collapsed="false">
      <c r="A98" s="139"/>
      <c r="B98" s="140" t="s">
        <v>66</v>
      </c>
      <c r="C98" s="140" t="s">
        <v>67</v>
      </c>
      <c r="D98" s="141" t="s">
        <v>68</v>
      </c>
      <c r="E98" s="141"/>
      <c r="F98" s="141" t="s">
        <v>69</v>
      </c>
      <c r="G98" s="141"/>
      <c r="H98" s="142" t="s">
        <v>70</v>
      </c>
      <c r="I98" s="143"/>
      <c r="J98" s="139" t="s">
        <v>66</v>
      </c>
      <c r="K98" s="140" t="s">
        <v>67</v>
      </c>
      <c r="L98" s="140" t="s">
        <v>71</v>
      </c>
      <c r="M98" s="144" t="s">
        <v>72</v>
      </c>
      <c r="O98" s="138"/>
    </row>
    <row r="99" customFormat="false" ht="12.75" hidden="false" customHeight="false" outlineLevel="0" collapsed="false">
      <c r="A99" s="145" t="s">
        <v>27</v>
      </c>
      <c r="B99" s="132" t="n">
        <v>0</v>
      </c>
      <c r="C99" s="132" t="n">
        <f aca="false">M8</f>
        <v>8000</v>
      </c>
      <c r="D99" s="132" t="n">
        <v>0</v>
      </c>
      <c r="E99" s="132" t="n">
        <f aca="false">IF((F$7&lt;=0),"",(3.6*$F$4*$C$99/($D$7/$C$7*$E$7*F$7*60)))</f>
        <v>63.9500194501596</v>
      </c>
      <c r="F99" s="132" t="n">
        <v>0</v>
      </c>
      <c r="G99" s="132" t="n">
        <f aca="false">F53</f>
        <v>8000</v>
      </c>
      <c r="H99" s="146" t="n">
        <v>0</v>
      </c>
      <c r="I99" s="147" t="n">
        <f aca="false">F54</f>
        <v>63.9500194501596</v>
      </c>
      <c r="J99" s="148" t="n">
        <v>1000</v>
      </c>
      <c r="K99" s="149" t="n">
        <f aca="false">MAX('Leistung u. Drehmoment'!C1:M1)</f>
        <v>8000</v>
      </c>
      <c r="L99" s="150" t="n">
        <f aca="false">IF((F$7&lt;=0),"",(3.6*$F$4*J99/($D$7/$C$7*$E$7*F$7*60)))</f>
        <v>7.99375243126995</v>
      </c>
      <c r="M99" s="151" t="n">
        <f aca="false">IF((F$7&lt;=0),"",(3.6*$F$4*K99/($D$7/$C$7*$E$7*F$7*60)))</f>
        <v>63.9500194501596</v>
      </c>
      <c r="O99" s="152"/>
    </row>
    <row r="100" customFormat="false" ht="12.75" hidden="false" customHeight="false" outlineLevel="0" collapsed="false">
      <c r="A100" s="145" t="s">
        <v>28</v>
      </c>
      <c r="B100" s="132" t="n">
        <f aca="false">IF(($G$7&lt;=0),"",E99*($D$7/$C$7*$E$7*$G$7*60)/(3.6*$F$4))</f>
        <v>4784.48071918618</v>
      </c>
      <c r="C100" s="132" t="n">
        <f aca="false">IF((G$7&lt;=0),"",$C$99)</f>
        <v>8000</v>
      </c>
      <c r="D100" s="132" t="n">
        <f aca="false">$E99</f>
        <v>63.9500194501596</v>
      </c>
      <c r="E100" s="132" t="n">
        <f aca="false">IF(($G$7&lt;=0),"",(3.6*$F$4*$C$99/($D$7/$C$7*$E$7*$G$7*60)))</f>
        <v>106.92908711069</v>
      </c>
      <c r="F100" s="132" t="n">
        <f aca="false">IF(($G$7&lt;=0),"",I99*($D$7/$C$7*$E$7*$G$7*60)/(3.6*$F$4))</f>
        <v>4784.48071918618</v>
      </c>
      <c r="G100" s="132" t="n">
        <f aca="false">G53</f>
        <v>8000</v>
      </c>
      <c r="H100" s="146" t="n">
        <f aca="false">F54</f>
        <v>63.9500194501596</v>
      </c>
      <c r="I100" s="153" t="n">
        <f aca="false">G54</f>
        <v>106.92908711069</v>
      </c>
      <c r="J100" s="148" t="n">
        <f aca="false">IF((G$7&lt;=0),"",1000)</f>
        <v>1000</v>
      </c>
      <c r="K100" s="150" t="n">
        <f aca="false">IF((G$7&lt;=0),"",MAX('Leistung u. Drehmoment'!C1:M1))</f>
        <v>8000</v>
      </c>
      <c r="L100" s="150" t="n">
        <f aca="false">IF((G$7&lt;=0),"",(3.6*$F$4*J100/($D$7/$C$7*$E$7*G$7*60)))</f>
        <v>13.3661358888363</v>
      </c>
      <c r="M100" s="151" t="n">
        <f aca="false">IF((G$7&lt;=0),"",(3.6*$F$4*K100/($D$7/$C$7*$E$7*G$7*60)))</f>
        <v>106.92908711069</v>
      </c>
      <c r="O100" s="152"/>
    </row>
    <row r="101" customFormat="false" ht="12.75" hidden="false" customHeight="false" outlineLevel="0" collapsed="false">
      <c r="A101" s="145" t="s">
        <v>29</v>
      </c>
      <c r="B101" s="132" t="n">
        <f aca="false">IF(($H$7&lt;=0),"",E100*($D$7/$C$7*$E$7*$H$7*60)/(3.6*F$4))</f>
        <v>5281.64556962025</v>
      </c>
      <c r="C101" s="132" t="n">
        <f aca="false">IF((H$7&lt;=0),"",$C$99)</f>
        <v>8000</v>
      </c>
      <c r="D101" s="132" t="n">
        <f aca="false">$E100</f>
        <v>106.92908711069</v>
      </c>
      <c r="E101" s="132" t="n">
        <f aca="false">IF(($H$7&lt;=0),"",(3.6*$F$4*$C$99/($D$7/$C$7*$E$7*$H$7*60)))</f>
        <v>161.963290722483</v>
      </c>
      <c r="F101" s="132" t="n">
        <f aca="false">IF(($H$7&lt;=0),"",I100*($D$7/$C$7*$E$7*$H$7*60)/(3.6*F$4))</f>
        <v>5281.64556962025</v>
      </c>
      <c r="G101" s="132" t="n">
        <f aca="false">H53</f>
        <v>8000</v>
      </c>
      <c r="H101" s="146" t="n">
        <f aca="false">G54</f>
        <v>106.92908711069</v>
      </c>
      <c r="I101" s="153" t="n">
        <f aca="false">H54</f>
        <v>161.963290722483</v>
      </c>
      <c r="J101" s="148" t="n">
        <f aca="false">IF((H$7&lt;=0),"",1000)</f>
        <v>1000</v>
      </c>
      <c r="K101" s="150" t="n">
        <f aca="false">IF((H$7&lt;=0),"",MAX('Leistung u. Drehmoment'!C1:M1))</f>
        <v>8000</v>
      </c>
      <c r="L101" s="150" t="n">
        <f aca="false">IF((H$7&lt;=0),"",(3.6*$F$4*J101/($D$7/$C$7*$E$7*H$7*60)))</f>
        <v>20.2454113403104</v>
      </c>
      <c r="M101" s="151" t="n">
        <f aca="false">IF((H$7&lt;=0),"",(3.6*$F$4*K101/($D$7/$C$7*$E$7*H$7*60)))</f>
        <v>161.963290722483</v>
      </c>
      <c r="O101" s="152"/>
    </row>
    <row r="102" customFormat="false" ht="12.75" hidden="false" customHeight="false" outlineLevel="0" collapsed="false">
      <c r="A102" s="145" t="s">
        <v>30</v>
      </c>
      <c r="B102" s="132" t="n">
        <f aca="false">IF(($I$7&lt;=0),"",E101*($D$7/$C$7*$E$7*$I$7*60)/(3.6*F$4))</f>
        <v>5876.57279808268</v>
      </c>
      <c r="C102" s="132" t="n">
        <f aca="false">IF((I$7&lt;=0),"",$C$99)</f>
        <v>8000</v>
      </c>
      <c r="D102" s="132" t="n">
        <f aca="false">$E101</f>
        <v>161.963290722483</v>
      </c>
      <c r="E102" s="132" t="n">
        <f aca="false">IF(($I$7&lt;=0),"",(3.6*$F$4*$C$99/($D$7/$C$7*$E$7*$I$7*60)))</f>
        <v>220.486731008014</v>
      </c>
      <c r="F102" s="132" t="n">
        <f aca="false">IF(($I$7&lt;=0),"",I101*($D$7/$C$7*$E$7*$I$7*60)/(3.6*F$4))</f>
        <v>5876.57279808268</v>
      </c>
      <c r="G102" s="132" t="n">
        <f aca="false">I53</f>
        <v>8000</v>
      </c>
      <c r="H102" s="146" t="n">
        <f aca="false">H54</f>
        <v>161.963290722483</v>
      </c>
      <c r="I102" s="153" t="n">
        <f aca="false">I54</f>
        <v>220.486731008014</v>
      </c>
      <c r="J102" s="148" t="n">
        <f aca="false">IF((I$7&lt;=0),"",1000)</f>
        <v>1000</v>
      </c>
      <c r="K102" s="150" t="n">
        <f aca="false">IF((I$7&lt;=0),"",MAX('Leistung u. Drehmoment'!C1:M1))</f>
        <v>8000</v>
      </c>
      <c r="L102" s="150" t="n">
        <f aca="false">IF((I$7&lt;=0),"",(3.6*$F$4*J102/($D$7/$C$7*$E$7*I$7*60)))</f>
        <v>27.5608413760017</v>
      </c>
      <c r="M102" s="151" t="n">
        <f aca="false">IF((I$7&lt;=0),"",(3.6*$F$4*K102/($D$7/$C$7*$E$7*I$7*60)))</f>
        <v>220.486731008014</v>
      </c>
      <c r="O102" s="152"/>
    </row>
    <row r="103" customFormat="false" ht="12.75" hidden="false" customHeight="false" outlineLevel="0" collapsed="false">
      <c r="A103" s="145" t="s">
        <v>31</v>
      </c>
      <c r="B103" s="132" t="n">
        <f aca="false">IF(($J$7&lt;=0),"",E102*($D$7/$C$7*$E$7*$J$7*60)/(3.6*F$4))</f>
        <v>6525.2854812398</v>
      </c>
      <c r="C103" s="132" t="n">
        <f aca="false">IF((J$7&lt;=0),"",$C$99)</f>
        <v>8000</v>
      </c>
      <c r="D103" s="132" t="n">
        <f aca="false">$E102</f>
        <v>220.486731008014</v>
      </c>
      <c r="E103" s="132" t="n">
        <f aca="false">IF(($J$7&lt;=0),"",(3.6*$F$4*$C$99/($D$7/$C$7*$E$7*$J$7*60)))</f>
        <v>270.316732215825</v>
      </c>
      <c r="F103" s="132" t="n">
        <f aca="false">IF(($J$7&lt;=0),"",I102*($D$7/$C$7*$E$7*$J$7*60)/(3.6*F$4))</f>
        <v>6525.2854812398</v>
      </c>
      <c r="G103" s="132" t="n">
        <f aca="false">J53</f>
        <v>8000</v>
      </c>
      <c r="H103" s="146" t="n">
        <f aca="false">I54</f>
        <v>220.486731008014</v>
      </c>
      <c r="I103" s="153" t="n">
        <f aca="false">J54</f>
        <v>270.316732215825</v>
      </c>
      <c r="J103" s="148" t="n">
        <f aca="false">IF((J$7&lt;=0),"",1000)</f>
        <v>1000</v>
      </c>
      <c r="K103" s="150" t="n">
        <f aca="false">IF((J$7&lt;=0),"",MAX('Leistung u. Drehmoment'!C1:M1))</f>
        <v>8000</v>
      </c>
      <c r="L103" s="150" t="n">
        <f aca="false">IF((J$7&lt;=0),"",(3.6*$F$4*J103/($D$7/$C$7*$E$7*J$7*60)))</f>
        <v>33.7895915269781</v>
      </c>
      <c r="M103" s="151" t="n">
        <f aca="false">IF((J$7&lt;=0),"",(3.6*$F$4*K103/($D$7/$C$7*$E$7*J$7*60)))</f>
        <v>270.316732215825</v>
      </c>
      <c r="O103" s="152"/>
    </row>
    <row r="104" customFormat="false" ht="12.75" hidden="false" customHeight="false" outlineLevel="0" collapsed="false">
      <c r="A104" s="145" t="s">
        <v>32</v>
      </c>
      <c r="B104" s="132" t="n">
        <f aca="false">IF(($K$7&lt;=0),"",E103*($D$7/$C$7*$E$7*$K$7*60)/(3.6*F$4))</f>
        <v>6624</v>
      </c>
      <c r="C104" s="132" t="n">
        <f aca="false">IF((K$7&lt;=0),"",$C$99)</f>
        <v>8000</v>
      </c>
      <c r="D104" s="132" t="n">
        <f aca="false">$E103</f>
        <v>270.316732215825</v>
      </c>
      <c r="E104" s="132" t="n">
        <f aca="false">IF(($K$7&lt;=0),"",(3.6*$F$4*$C$99/($D$7/$C$7*$E$7*$K$7*60)))</f>
        <v>326.469483352445</v>
      </c>
      <c r="F104" s="132" t="n">
        <f aca="false">IF(($K$7&lt;=0),"",I103*($D$7/$C$7*$E$7*$K$7*60)/(3.6*F$4))</f>
        <v>6624</v>
      </c>
      <c r="G104" s="132" t="n">
        <f aca="false">K53</f>
        <v>8000</v>
      </c>
      <c r="H104" s="146" t="n">
        <f aca="false">J54</f>
        <v>270.316732215825</v>
      </c>
      <c r="I104" s="153" t="n">
        <f aca="false">K54</f>
        <v>326.469483352445</v>
      </c>
      <c r="J104" s="148" t="n">
        <f aca="false">IF((K$7&lt;=0),"",1000)</f>
        <v>1000</v>
      </c>
      <c r="K104" s="150" t="n">
        <f aca="false">IF((K$7&lt;=0),"",MAX('Leistung u. Drehmoment'!C1:M1))</f>
        <v>8000</v>
      </c>
      <c r="L104" s="150" t="n">
        <f aca="false">IF((K$7&lt;=0),"",(3.6*$F$4*J104/($D$7/$C$7*$E$7*K$7*60)))</f>
        <v>40.8086854190557</v>
      </c>
      <c r="M104" s="151" t="n">
        <f aca="false">IF((K$7&lt;=0),"",(3.6*$F$4*K104/($D$7/$C$7*$E$7*K$7*60)))</f>
        <v>326.469483352445</v>
      </c>
      <c r="O104" s="152"/>
    </row>
    <row r="105" customFormat="false" ht="13.5" hidden="false" customHeight="false" outlineLevel="0" collapsed="false">
      <c r="A105" s="154" t="s">
        <v>33</v>
      </c>
      <c r="B105" s="135" t="str">
        <f aca="false">IF(($L$7&lt;=0),"",E104*($D$7/$C$7*$E$7*$L$7*60)/(3.6*F$4))</f>
        <v/>
      </c>
      <c r="C105" s="135" t="str">
        <f aca="false">IF((L$7&lt;=0),"",$C$99)</f>
        <v/>
      </c>
      <c r="D105" s="135" t="n">
        <f aca="false">$E104</f>
        <v>326.469483352445</v>
      </c>
      <c r="E105" s="135" t="str">
        <f aca="false">IF(($L$7&lt;=0),"",(3.6*$F$4*$C$99/($D$7/$C$7*$E$7*$L$7*60)))</f>
        <v/>
      </c>
      <c r="F105" s="135" t="str">
        <f aca="false">IF(($L$7&lt;=0),"",I104*($D$7/$C$7*$E$7*$L$7*60)/(3.6*F$4))</f>
        <v/>
      </c>
      <c r="G105" s="135" t="str">
        <f aca="false">L53</f>
        <v/>
      </c>
      <c r="H105" s="155" t="n">
        <f aca="false">K54</f>
        <v>326.469483352445</v>
      </c>
      <c r="I105" s="156" t="str">
        <f aca="false">L54</f>
        <v/>
      </c>
      <c r="J105" s="157" t="str">
        <f aca="false">IF((L$7&lt;=0),"",1000)</f>
        <v/>
      </c>
      <c r="K105" s="158" t="str">
        <f aca="false">IF((L$7&lt;=0),"",MAX('Leistung u. Drehmoment'!C1:M1))</f>
        <v/>
      </c>
      <c r="L105" s="158" t="str">
        <f aca="false">IF((L$7&lt;=0),"",(3.6*$F$4*J105/($D$7/$C$7*$E$7*L$7*60)))</f>
        <v/>
      </c>
      <c r="M105" s="159" t="str">
        <f aca="false">IF((L$7&lt;=0),"",(3.6*$F$4*K105/($D$7/$C$7*$E$7*L$7*60)))</f>
        <v/>
      </c>
      <c r="O105" s="152"/>
    </row>
    <row r="106" customFormat="false" ht="13.5" hidden="false" customHeight="false" outlineLevel="0" collapsed="false">
      <c r="A106" s="152"/>
      <c r="B106" s="152"/>
      <c r="C106" s="152"/>
      <c r="D106" s="152"/>
      <c r="E106" s="152"/>
      <c r="F106" s="160"/>
      <c r="G106" s="160"/>
      <c r="H106" s="152"/>
      <c r="I106" s="152"/>
      <c r="J106" s="152"/>
      <c r="K106" s="152"/>
      <c r="L106" s="152"/>
      <c r="O106" s="152"/>
    </row>
    <row r="107" customFormat="false" ht="12.75" hidden="false" customHeight="false" outlineLevel="0" collapsed="false">
      <c r="A107" s="161" t="s">
        <v>73</v>
      </c>
      <c r="B107" s="162"/>
      <c r="C107" s="163" t="n">
        <f aca="false">IF(OR(T14="n",T14="N"),0,D107*E107)</f>
        <v>339.528262686543</v>
      </c>
      <c r="D107" s="164" t="n">
        <f aca="false">O22</f>
        <v>1.04</v>
      </c>
      <c r="E107" s="165" t="n">
        <f aca="false">(MAX($M$83,$M$85,$M$87,$M$89,$M$91,$M$93,$M$95))</f>
        <v>326.469483352445</v>
      </c>
      <c r="F107" s="162"/>
      <c r="G107" s="162"/>
      <c r="H107" s="162"/>
      <c r="I107" s="162"/>
      <c r="J107" s="162"/>
      <c r="K107" s="162"/>
      <c r="L107" s="166"/>
      <c r="O107" s="152"/>
    </row>
    <row r="108" customFormat="false" ht="12.75" hidden="false" customHeight="false" outlineLevel="0" collapsed="false">
      <c r="A108" s="167" t="s">
        <v>74</v>
      </c>
      <c r="B108" s="167"/>
      <c r="C108" s="168"/>
      <c r="D108" s="169" t="n">
        <v>0</v>
      </c>
      <c r="E108" s="170" t="n">
        <f aca="false">$C107/8*1</f>
        <v>42.4410328358179</v>
      </c>
      <c r="F108" s="170" t="n">
        <f aca="false">$C107/8*2</f>
        <v>84.8820656716358</v>
      </c>
      <c r="G108" s="170" t="n">
        <f aca="false">$C107/8*3</f>
        <v>127.323098507454</v>
      </c>
      <c r="H108" s="170" t="n">
        <f aca="false">$C107/8*4</f>
        <v>169.764131343272</v>
      </c>
      <c r="I108" s="170" t="n">
        <f aca="false">$C107/8*5</f>
        <v>212.205164179089</v>
      </c>
      <c r="J108" s="170" t="n">
        <f aca="false">$C107/8*6</f>
        <v>254.646197014907</v>
      </c>
      <c r="K108" s="170" t="n">
        <f aca="false">$C107/8*7</f>
        <v>297.087229850725</v>
      </c>
      <c r="L108" s="171" t="n">
        <f aca="false">$C107/8*8</f>
        <v>339.528262686543</v>
      </c>
      <c r="O108" s="152"/>
    </row>
    <row r="109" customFormat="false" ht="12.75" hidden="false" customHeight="false" outlineLevel="0" collapsed="false">
      <c r="A109" s="167"/>
      <c r="B109" s="167"/>
      <c r="C109" s="172" t="n">
        <f aca="false">C119</f>
        <v>-0.1</v>
      </c>
      <c r="D109" s="173" t="n">
        <f aca="false">IF(C131&lt;0,E109,D$108)</f>
        <v>212.205164179089</v>
      </c>
      <c r="E109" s="174" t="n">
        <f aca="false">IF($C$129&lt;D131,D109,IF(D131&lt;0,F109,E$108))</f>
        <v>212.205164179089</v>
      </c>
      <c r="F109" s="174" t="n">
        <f aca="false">IF($C$129&lt;E131,E109,IF(E131&lt;0,G109,F$108))</f>
        <v>212.205164179089</v>
      </c>
      <c r="G109" s="174" t="n">
        <f aca="false">IF($C$129&lt;F131,F109,IF(F131&lt;0,H109,G$108))</f>
        <v>212.205164179089</v>
      </c>
      <c r="H109" s="174" t="n">
        <f aca="false">IF($C$129&lt;G131,G109,IF(G131&lt;0,I109,H$108))</f>
        <v>212.205164179089</v>
      </c>
      <c r="I109" s="174" t="n">
        <f aca="false">IF($C$129&lt;H131,H109,IF(H131&lt;0,J109,I$108))</f>
        <v>212.205164179089</v>
      </c>
      <c r="J109" s="174" t="n">
        <f aca="false">IF($C$129&lt;I131,I109,IF(I131&lt;0,K109,J$108))</f>
        <v>254.646197014907</v>
      </c>
      <c r="K109" s="174" t="n">
        <f aca="false">IF($C$129&lt;J131,J109,IF(J131&lt;0,L109,K$108))</f>
        <v>297.087229850725</v>
      </c>
      <c r="L109" s="175" t="n">
        <f aca="false">IF($C$129&lt;K131,K109,IF(K131&lt;0,O109,L$108))</f>
        <v>339.528262686543</v>
      </c>
      <c r="O109" s="152"/>
    </row>
    <row r="110" customFormat="false" ht="12.75" hidden="false" customHeight="false" outlineLevel="0" collapsed="false">
      <c r="A110" s="167"/>
      <c r="B110" s="167"/>
      <c r="C110" s="172" t="n">
        <f aca="false">C120</f>
        <v>-0.05</v>
      </c>
      <c r="D110" s="173" t="n">
        <f aca="false">IF(C132&lt;0,E110,D$108)</f>
        <v>127.323098507454</v>
      </c>
      <c r="E110" s="174" t="n">
        <f aca="false">IF($C$129&lt;D132,D110,IF(D132&lt;0,F110,E$108))</f>
        <v>127.323098507454</v>
      </c>
      <c r="F110" s="174" t="n">
        <f aca="false">IF($C$129&lt;E132,E110,IF(E132&lt;0,G110,F$108))</f>
        <v>127.323098507454</v>
      </c>
      <c r="G110" s="174" t="n">
        <f aca="false">IF($C$129&lt;F132,F110,IF(F132&lt;0,H110,G$108))</f>
        <v>127.323098507454</v>
      </c>
      <c r="H110" s="174" t="n">
        <f aca="false">IF($C$129&lt;G132,G110,IF(G132&lt;0,I110,H$108))</f>
        <v>169.764131343272</v>
      </c>
      <c r="I110" s="174" t="n">
        <f aca="false">IF($C$129&lt;H132,H110,IF(H132&lt;0,J110,I$108))</f>
        <v>212.205164179089</v>
      </c>
      <c r="J110" s="174" t="n">
        <f aca="false">IF($C$129&lt;I132,I110,IF(I132&lt;0,K110,J$108))</f>
        <v>254.646197014907</v>
      </c>
      <c r="K110" s="174" t="n">
        <f aca="false">IF($C$129&lt;J132,J110,IF(J132&lt;0,L110,K$108))</f>
        <v>297.087229850725</v>
      </c>
      <c r="L110" s="175" t="n">
        <f aca="false">IF($C$129&lt;K132,K110,IF(K132&lt;0,O110,L$108))</f>
        <v>339.528262686543</v>
      </c>
      <c r="O110" s="138"/>
    </row>
    <row r="111" customFormat="false" ht="12.75" hidden="false" customHeight="false" outlineLevel="0" collapsed="false">
      <c r="A111" s="167"/>
      <c r="B111" s="167"/>
      <c r="C111" s="172" t="n">
        <f aca="false">C121</f>
        <v>0</v>
      </c>
      <c r="D111" s="173" t="n">
        <f aca="false">IF(C133&lt;0,E111,D$108)</f>
        <v>0</v>
      </c>
      <c r="E111" s="174" t="n">
        <f aca="false">IF($C$129&lt;D133,D111,IF(D133&lt;0,F111,E$108))</f>
        <v>42.4410328358179</v>
      </c>
      <c r="F111" s="174" t="n">
        <f aca="false">IF($C$129&lt;E133,E111,IF(E133&lt;0,G111,F$108))</f>
        <v>84.8820656716358</v>
      </c>
      <c r="G111" s="174" t="n">
        <f aca="false">IF($C$129&lt;F133,F111,IF(F133&lt;0,H111,G$108))</f>
        <v>127.323098507454</v>
      </c>
      <c r="H111" s="174" t="n">
        <f aca="false">IF($C$129&lt;G133,G111,IF(G133&lt;0,I111,H$108))</f>
        <v>169.764131343272</v>
      </c>
      <c r="I111" s="174" t="n">
        <f aca="false">IF($C$129&lt;H133,H111,IF(H133&lt;0,J111,I$108))</f>
        <v>212.205164179089</v>
      </c>
      <c r="J111" s="174" t="n">
        <f aca="false">IF($C$129&lt;I133,I111,IF(I133&lt;0,K111,J$108))</f>
        <v>254.646197014907</v>
      </c>
      <c r="K111" s="174" t="n">
        <f aca="false">IF($C$129&lt;J133,J111,IF(J133&lt;0,L111,K$108))</f>
        <v>297.087229850725</v>
      </c>
      <c r="L111" s="175" t="n">
        <f aca="false">IF($C$129&lt;K133,K111,IF(K133&lt;0,O111,L$108))</f>
        <v>339.528262686543</v>
      </c>
      <c r="O111" s="138"/>
    </row>
    <row r="112" customFormat="false" ht="12.75" hidden="false" customHeight="false" outlineLevel="0" collapsed="false">
      <c r="A112" s="167"/>
      <c r="B112" s="167"/>
      <c r="C112" s="172" t="n">
        <f aca="false">C122</f>
        <v>0.05</v>
      </c>
      <c r="D112" s="173" t="n">
        <f aca="false">IF(C134&lt;0,E112,D$108)</f>
        <v>0</v>
      </c>
      <c r="E112" s="174" t="n">
        <f aca="false">IF($C$129&lt;D134,D112,IF(D134&lt;0,F112,E$108))</f>
        <v>42.4410328358179</v>
      </c>
      <c r="F112" s="174" t="n">
        <f aca="false">IF($C$129&lt;E134,E112,IF(E134&lt;0,G112,F$108))</f>
        <v>84.8820656716358</v>
      </c>
      <c r="G112" s="174" t="n">
        <f aca="false">IF($C$129&lt;F134,F112,IF(F134&lt;0,H112,G$108))</f>
        <v>127.323098507454</v>
      </c>
      <c r="H112" s="174" t="n">
        <f aca="false">IF($C$129&lt;G134,G112,IF(G134&lt;0,I112,H$108))</f>
        <v>169.764131343272</v>
      </c>
      <c r="I112" s="174" t="n">
        <f aca="false">IF($C$129&lt;H134,H112,IF(H134&lt;0,J112,I$108))</f>
        <v>212.205164179089</v>
      </c>
      <c r="J112" s="174" t="n">
        <f aca="false">IF($C$129&lt;I134,I112,IF(I134&lt;0,K112,J$108))</f>
        <v>254.646197014907</v>
      </c>
      <c r="K112" s="174" t="n">
        <f aca="false">IF($C$129&lt;J134,J112,IF(J134&lt;0,L112,K$108))</f>
        <v>297.087229850725</v>
      </c>
      <c r="L112" s="175" t="n">
        <f aca="false">IF($C$129&lt;K134,K112,IF(K134&lt;0,O112,L$108))</f>
        <v>339.528262686543</v>
      </c>
      <c r="O112" s="138"/>
    </row>
    <row r="113" customFormat="false" ht="12.75" hidden="false" customHeight="false" outlineLevel="0" collapsed="false">
      <c r="A113" s="167"/>
      <c r="B113" s="167"/>
      <c r="C113" s="172" t="n">
        <f aca="false">C123</f>
        <v>0.1</v>
      </c>
      <c r="D113" s="173" t="n">
        <f aca="false">IF(C135&lt;0,E113,D$108)</f>
        <v>0</v>
      </c>
      <c r="E113" s="174" t="n">
        <f aca="false">IF($C$129&lt;D135,D113,IF(D135&lt;0,F113,E$108))</f>
        <v>42.4410328358179</v>
      </c>
      <c r="F113" s="174" t="n">
        <f aca="false">IF($C$129&lt;E135,E113,IF(E135&lt;0,G113,F$108))</f>
        <v>84.8820656716358</v>
      </c>
      <c r="G113" s="174" t="n">
        <f aca="false">IF($C$129&lt;F135,F113,IF(F135&lt;0,H113,G$108))</f>
        <v>127.323098507454</v>
      </c>
      <c r="H113" s="174" t="n">
        <f aca="false">IF($C$129&lt;G135,G113,IF(G135&lt;0,I113,H$108))</f>
        <v>169.764131343272</v>
      </c>
      <c r="I113" s="174" t="n">
        <f aca="false">IF($C$129&lt;H135,H113,IF(H135&lt;0,J113,I$108))</f>
        <v>212.205164179089</v>
      </c>
      <c r="J113" s="174" t="n">
        <f aca="false">IF($C$129&lt;I135,I113,IF(I135&lt;0,K113,J$108))</f>
        <v>254.646197014907</v>
      </c>
      <c r="K113" s="174" t="n">
        <f aca="false">IF($C$129&lt;J135,J113,IF(J135&lt;0,L113,K$108))</f>
        <v>297.087229850725</v>
      </c>
      <c r="L113" s="175" t="n">
        <f aca="false">IF($C$129&lt;K135,K113,IF(K135&lt;0,O113,L$108))</f>
        <v>339.528262686543</v>
      </c>
      <c r="O113" s="138"/>
    </row>
    <row r="114" customFormat="false" ht="12.75" hidden="false" customHeight="false" outlineLevel="0" collapsed="false">
      <c r="A114" s="167"/>
      <c r="B114" s="167"/>
      <c r="C114" s="172" t="n">
        <f aca="false">C124</f>
        <v>0.2</v>
      </c>
      <c r="D114" s="173" t="n">
        <f aca="false">IF(C136&lt;0,E114,D$108)</f>
        <v>0</v>
      </c>
      <c r="E114" s="174" t="n">
        <f aca="false">IF($C$129&lt;D136,D114,IF(D136&lt;0,F114,E$108))</f>
        <v>42.4410328358179</v>
      </c>
      <c r="F114" s="174" t="n">
        <f aca="false">IF($C$129&lt;E136,E114,IF(E136&lt;0,G114,F$108))</f>
        <v>84.8820656716358</v>
      </c>
      <c r="G114" s="174" t="n">
        <f aca="false">IF($C$129&lt;F136,F114,IF(F136&lt;0,H114,G$108))</f>
        <v>127.323098507454</v>
      </c>
      <c r="H114" s="174" t="n">
        <f aca="false">IF($C$129&lt;G136,G114,IF(G136&lt;0,I114,H$108))</f>
        <v>169.764131343272</v>
      </c>
      <c r="I114" s="174" t="n">
        <f aca="false">IF($C$129&lt;H136,H114,IF(H136&lt;0,J114,I$108))</f>
        <v>212.205164179089</v>
      </c>
      <c r="J114" s="174" t="n">
        <f aca="false">IF($C$129&lt;I136,I114,IF(I136&lt;0,K114,J$108))</f>
        <v>254.646197014907</v>
      </c>
      <c r="K114" s="174" t="n">
        <f aca="false">IF($C$129&lt;J136,J114,IF(J136&lt;0,L114,K$108))</f>
        <v>297.087229850725</v>
      </c>
      <c r="L114" s="175" t="n">
        <f aca="false">IF($C$129&lt;K136,K114,IF(K136&lt;0,O114,L$108))</f>
        <v>339.528262686543</v>
      </c>
      <c r="O114" s="138"/>
    </row>
    <row r="115" customFormat="false" ht="12.75" hidden="false" customHeight="false" outlineLevel="0" collapsed="false">
      <c r="A115" s="167"/>
      <c r="B115" s="167"/>
      <c r="C115" s="172" t="n">
        <f aca="false">C125</f>
        <v>0.3</v>
      </c>
      <c r="D115" s="173" t="n">
        <f aca="false">IF(C137&lt;0,E115,D$108)</f>
        <v>0</v>
      </c>
      <c r="E115" s="174" t="n">
        <f aca="false">IF($C$129&lt;D137,D115,IF(D137&lt;0,F115,E$108))</f>
        <v>42.4410328358179</v>
      </c>
      <c r="F115" s="174" t="n">
        <f aca="false">IF($C$129&lt;E137,E115,IF(E137&lt;0,G115,F$108))</f>
        <v>84.8820656716358</v>
      </c>
      <c r="G115" s="174" t="n">
        <f aca="false">IF($C$129&lt;F137,F115,IF(F137&lt;0,H115,G$108))</f>
        <v>127.323098507454</v>
      </c>
      <c r="H115" s="174" t="n">
        <f aca="false">IF($C$129&lt;G137,G115,IF(G137&lt;0,I115,H$108))</f>
        <v>169.764131343272</v>
      </c>
      <c r="I115" s="174" t="n">
        <f aca="false">IF($C$129&lt;H137,H115,IF(H137&lt;0,J115,I$108))</f>
        <v>212.205164179089</v>
      </c>
      <c r="J115" s="174" t="n">
        <f aca="false">IF($C$129&lt;I137,I115,IF(I137&lt;0,K115,J$108))</f>
        <v>254.646197014907</v>
      </c>
      <c r="K115" s="174" t="n">
        <f aca="false">IF($C$129&lt;J137,J115,IF(J137&lt;0,L115,K$108))</f>
        <v>297.087229850725</v>
      </c>
      <c r="L115" s="175" t="n">
        <f aca="false">IF($C$129&lt;K137,K115,IF(K137&lt;0,O115,L$108))</f>
        <v>339.528262686543</v>
      </c>
      <c r="O115" s="138"/>
    </row>
    <row r="116" customFormat="false" ht="12.75" hidden="false" customHeight="false" outlineLevel="0" collapsed="false">
      <c r="A116" s="167"/>
      <c r="B116" s="167"/>
      <c r="C116" s="172" t="n">
        <f aca="false">C126</f>
        <v>0.5</v>
      </c>
      <c r="D116" s="173" t="n">
        <f aca="false">IF(C138&lt;0,E116,D$108)</f>
        <v>0</v>
      </c>
      <c r="E116" s="174" t="n">
        <f aca="false">IF($C$129&lt;D138,D116,IF(D138&lt;0,F116,E$108))</f>
        <v>42.4410328358179</v>
      </c>
      <c r="F116" s="174" t="n">
        <f aca="false">IF($C$129&lt;E138,E116,IF(E138&lt;0,G116,F$108))</f>
        <v>84.8820656716358</v>
      </c>
      <c r="G116" s="174" t="n">
        <f aca="false">IF($C$129&lt;F138,F116,IF(F138&lt;0,H116,G$108))</f>
        <v>127.323098507454</v>
      </c>
      <c r="H116" s="174" t="n">
        <f aca="false">IF($C$129&lt;G138,G116,IF(G138&lt;0,I116,H$108))</f>
        <v>169.764131343272</v>
      </c>
      <c r="I116" s="174" t="n">
        <f aca="false">IF($C$129&lt;H138,H116,IF(H138&lt;0,J116,I$108))</f>
        <v>212.205164179089</v>
      </c>
      <c r="J116" s="174" t="n">
        <f aca="false">IF($C$129&lt;I138,I116,IF(I138&lt;0,K116,J$108))</f>
        <v>254.646197014907</v>
      </c>
      <c r="K116" s="174" t="n">
        <f aca="false">IF($C$129&lt;J138,J116,IF(J138&lt;0,L116,K$108))</f>
        <v>297.087229850725</v>
      </c>
      <c r="L116" s="175" t="n">
        <f aca="false">IF($C$129&lt;K138,K116,IF(K138&lt;0,O116,L$108))</f>
        <v>339.528262686543</v>
      </c>
      <c r="O116" s="138"/>
    </row>
    <row r="117" customFormat="false" ht="12.75" hidden="false" customHeight="false" outlineLevel="0" collapsed="false">
      <c r="A117" s="167"/>
      <c r="B117" s="167"/>
      <c r="C117" s="172" t="n">
        <f aca="false">C127</f>
        <v>0.8</v>
      </c>
      <c r="D117" s="173" t="n">
        <f aca="false">IF(C139&lt;0,E117,D$108)</f>
        <v>0</v>
      </c>
      <c r="E117" s="174" t="n">
        <f aca="false">IF($C$129&lt;D139,D117,IF(D139&lt;0,F117,E$108))</f>
        <v>42.4410328358179</v>
      </c>
      <c r="F117" s="174" t="n">
        <f aca="false">IF($C$129&lt;E139,E117,IF(E139&lt;0,G117,F$108))</f>
        <v>84.8820656716358</v>
      </c>
      <c r="G117" s="174" t="n">
        <f aca="false">IF($C$129&lt;F139,F117,IF(F139&lt;0,H117,G$108))</f>
        <v>127.323098507454</v>
      </c>
      <c r="H117" s="174" t="n">
        <f aca="false">IF($C$129&lt;G139,G117,IF(G139&lt;0,I117,H$108))</f>
        <v>169.764131343272</v>
      </c>
      <c r="I117" s="174" t="n">
        <f aca="false">IF($C$129&lt;H139,H117,IF(H139&lt;0,J117,I$108))</f>
        <v>212.205164179089</v>
      </c>
      <c r="J117" s="174" t="n">
        <f aca="false">IF($C$129&lt;I139,I117,IF(I139&lt;0,K117,J$108))</f>
        <v>254.646197014907</v>
      </c>
      <c r="K117" s="174" t="n">
        <f aca="false">IF($C$129&lt;J139,J117,IF(J139&lt;0,L117,K$108))</f>
        <v>297.087229850725</v>
      </c>
      <c r="L117" s="175" t="n">
        <f aca="false">IF($C$129&lt;K139,K117,IF(K139&lt;0,O117,L$108))</f>
        <v>339.528262686543</v>
      </c>
      <c r="O117" s="138"/>
    </row>
    <row r="118" customFormat="false" ht="12.75" hidden="false" customHeight="false" outlineLevel="0" collapsed="false">
      <c r="A118" s="167"/>
      <c r="B118" s="167"/>
      <c r="C118" s="176" t="n">
        <f aca="false">C128</f>
        <v>99.99</v>
      </c>
      <c r="D118" s="177" t="n">
        <f aca="false">IF(C140&lt;0,E118,D$108)</f>
        <v>0</v>
      </c>
      <c r="E118" s="174" t="n">
        <f aca="false">IF($C$129&lt;D140,D118,IF(D140&lt;0,F118,E$108))</f>
        <v>42.4410328358179</v>
      </c>
      <c r="F118" s="174" t="n">
        <f aca="false">IF($C$129&lt;E140,E118,IF(E140&lt;0,G118,F$108))</f>
        <v>84.8820656716358</v>
      </c>
      <c r="G118" s="174" t="n">
        <f aca="false">IF($C$129&lt;F140,F118,IF(F140&lt;0,H118,G$108))</f>
        <v>127.323098507454</v>
      </c>
      <c r="H118" s="174" t="n">
        <f aca="false">IF($C$129&lt;G140,G118,IF(G140&lt;0,I118,H$108))</f>
        <v>169.764131343272</v>
      </c>
      <c r="I118" s="174" t="n">
        <f aca="false">IF($C$129&lt;H140,H118,IF(H140&lt;0,J118,I$108))</f>
        <v>212.205164179089</v>
      </c>
      <c r="J118" s="174" t="n">
        <f aca="false">IF($C$129&lt;I140,I118,IF(I140&lt;0,K118,J$108))</f>
        <v>212.205164179089</v>
      </c>
      <c r="K118" s="174" t="n">
        <f aca="false">IF($C$129&lt;J140,J118,IF(J140&lt;0,L118,K$108))</f>
        <v>212.205164179089</v>
      </c>
      <c r="L118" s="175" t="n">
        <f aca="false">IF($C$129&lt;K140,K118,IF(K140&lt;0,O118,L$108))</f>
        <v>212.205164179089</v>
      </c>
      <c r="O118" s="138"/>
    </row>
    <row r="119" customFormat="false" ht="12.75" hidden="false" customHeight="true" outlineLevel="0" collapsed="false">
      <c r="A119" s="178" t="s">
        <v>75</v>
      </c>
      <c r="B119" s="178"/>
      <c r="C119" s="172" t="n">
        <f aca="false">T24</f>
        <v>-0.1</v>
      </c>
      <c r="D119" s="173" t="n">
        <f aca="false">IF($C$129&lt;C131,"",IF(C131&lt;0,E119,C131))</f>
        <v>391.563800472295</v>
      </c>
      <c r="E119" s="179" t="n">
        <f aca="false">IF($C$129&lt;D131,D119,IF(D131&lt;0,F119,D131))</f>
        <v>391.563800472295</v>
      </c>
      <c r="F119" s="180" t="n">
        <f aca="false">IF($C$129&lt;E131,E119,IF(E131&lt;0,G119,E131))</f>
        <v>391.563800472295</v>
      </c>
      <c r="G119" s="180" t="n">
        <f aca="false">IF($C$129&lt;F131,F119,IF(F131&lt;0,H119,F131))</f>
        <v>391.563800472295</v>
      </c>
      <c r="H119" s="180" t="n">
        <f aca="false">IF($C$129&lt;G131,G119,IF(G131&lt;0,I119,G131))</f>
        <v>391.563800472295</v>
      </c>
      <c r="I119" s="180" t="n">
        <f aca="false">IF($C$129&lt;H131,H119,IF(H131&lt;0,J119,H131))</f>
        <v>391.563800472295</v>
      </c>
      <c r="J119" s="180" t="n">
        <f aca="false">IF($C$129&lt;I131,I119,IF(I131&lt;0,K119,I131))</f>
        <v>1076.5176896751</v>
      </c>
      <c r="K119" s="180" t="n">
        <f aca="false">IF($C$129&lt;J131,J119,IF(J131&lt;0,L119,J131))</f>
        <v>1886.00864964204</v>
      </c>
      <c r="L119" s="181" t="n">
        <f aca="false">IF($C$129&lt;K131,K119,IF(K131&lt;0,O119,K131))</f>
        <v>2820.03668037314</v>
      </c>
      <c r="O119" s="138"/>
    </row>
    <row r="120" customFormat="false" ht="12.75" hidden="false" customHeight="false" outlineLevel="0" collapsed="false">
      <c r="A120" s="178"/>
      <c r="B120" s="178"/>
      <c r="C120" s="172" t="n">
        <f aca="false">T23</f>
        <v>-0.05</v>
      </c>
      <c r="D120" s="173" t="n">
        <f aca="false">IF($C$129&lt;C132,"",IF(C132&lt;0,E120,C132))</f>
        <v>87.0478203283182</v>
      </c>
      <c r="E120" s="182" t="n">
        <f aca="false">IF($C$129&lt;D132,D120,IF(D132&lt;0,F120,D132))</f>
        <v>87.0478203283182</v>
      </c>
      <c r="F120" s="174" t="n">
        <f aca="false">IF($C$129&lt;E132,E120,IF(E132&lt;0,G120,E132))</f>
        <v>87.0478203283182</v>
      </c>
      <c r="G120" s="174" t="n">
        <f aca="false">IF($C$129&lt;F132,F120,IF(F132&lt;0,H120,F132))</f>
        <v>87.0478203283182</v>
      </c>
      <c r="H120" s="174" t="n">
        <f aca="false">IF($C$129&lt;G132,G120,IF(G132&lt;0,I120,G132))</f>
        <v>522.927568002829</v>
      </c>
      <c r="I120" s="174" t="n">
        <f aca="false">IF($C$129&lt;H132,H120,IF(H132&lt;0,J120,H132))</f>
        <v>1083.34438644149</v>
      </c>
      <c r="J120" s="174" t="n">
        <f aca="false">IF($C$129&lt;I132,I120,IF(I132&lt;0,K120,I132))</f>
        <v>1768.29827564429</v>
      </c>
      <c r="K120" s="174" t="n">
        <f aca="false">IF($C$129&lt;J132,J120,IF(J132&lt;0,L120,J132))</f>
        <v>2577.78923561123</v>
      </c>
      <c r="L120" s="175" t="n">
        <f aca="false">IF($C$129&lt;K132,K120,IF(K132&lt;0,O120,K132))</f>
        <v>3511.81726634233</v>
      </c>
      <c r="O120" s="138"/>
    </row>
    <row r="121" customFormat="false" ht="12.75" hidden="false" customHeight="false" outlineLevel="0" collapsed="false">
      <c r="A121" s="178"/>
      <c r="B121" s="178"/>
      <c r="C121" s="172" t="n">
        <f aca="false">T22</f>
        <v>0</v>
      </c>
      <c r="D121" s="173" t="n">
        <f aca="false">IF($C$129&lt;C133,"",IF(C133&lt;0,E121,C133))</f>
        <v>223.04016</v>
      </c>
      <c r="E121" s="182" t="n">
        <f aca="false">IF($C$129&lt;D133,D121,IF(D133&lt;0,F121,D133))</f>
        <v>285.308695382073</v>
      </c>
      <c r="F121" s="174" t="n">
        <f aca="false">IF($C$129&lt;E133,E121,IF(E133&lt;0,G121,E133))</f>
        <v>472.114301528292</v>
      </c>
      <c r="G121" s="174" t="n">
        <f aca="false">IF($C$129&lt;F133,F121,IF(F133&lt;0,H121,F133))</f>
        <v>783.456978438657</v>
      </c>
      <c r="H121" s="174" t="n">
        <f aca="false">IF($C$129&lt;G133,G121,IF(G133&lt;0,I121,G133))</f>
        <v>1219.33672611317</v>
      </c>
      <c r="I121" s="174" t="n">
        <f aca="false">IF($C$129&lt;H133,H121,IF(H133&lt;0,J121,H133))</f>
        <v>1779.75354455182</v>
      </c>
      <c r="J121" s="174" t="n">
        <f aca="false">IF($C$129&lt;I133,I121,IF(I133&lt;0,K121,I133))</f>
        <v>2464.70743375463</v>
      </c>
      <c r="K121" s="174" t="n">
        <f aca="false">IF($C$129&lt;J133,J121,IF(J133&lt;0,L121,J133))</f>
        <v>3274.19839372157</v>
      </c>
      <c r="L121" s="175" t="n">
        <f aca="false">IF($C$129&lt;K133,K121,IF(K133&lt;0,O121,K133))</f>
        <v>4208.22642445267</v>
      </c>
      <c r="O121" s="138"/>
    </row>
    <row r="122" customFormat="false" ht="12.75" hidden="false" customHeight="false" outlineLevel="0" collapsed="false">
      <c r="A122" s="178"/>
      <c r="B122" s="178"/>
      <c r="C122" s="172" t="n">
        <f aca="false">T21</f>
        <v>0.05</v>
      </c>
      <c r="D122" s="173" t="n">
        <f aca="false">IF($C$129&lt;C134,"",IF(C134&lt;0,E122,C134))</f>
        <v>918.892761037716</v>
      </c>
      <c r="E122" s="182" t="n">
        <f aca="false">IF($C$129&lt;D134,D122,IF(D134&lt;0,F122,D134))</f>
        <v>981.161296419789</v>
      </c>
      <c r="F122" s="174" t="n">
        <f aca="false">IF($C$129&lt;E134,E122,IF(E134&lt;0,G122,E134))</f>
        <v>1167.96690256601</v>
      </c>
      <c r="G122" s="174" t="n">
        <f aca="false">IF($C$129&lt;F134,F122,IF(F134&lt;0,H122,F134))</f>
        <v>1479.30957947637</v>
      </c>
      <c r="H122" s="174" t="n">
        <f aca="false">IF($C$129&lt;G134,G122,IF(G134&lt;0,I122,G134))</f>
        <v>1915.18932715088</v>
      </c>
      <c r="I122" s="174" t="n">
        <f aca="false">IF($C$129&lt;H134,H122,IF(H134&lt;0,J122,H134))</f>
        <v>2475.60614558954</v>
      </c>
      <c r="J122" s="174" t="n">
        <f aca="false">IF($C$129&lt;I134,I122,IF(I134&lt;0,K122,I134))</f>
        <v>3160.56003479234</v>
      </c>
      <c r="K122" s="174" t="n">
        <f aca="false">IF($C$129&lt;J134,J122,IF(J134&lt;0,L122,J134))</f>
        <v>3970.05099475929</v>
      </c>
      <c r="L122" s="175" t="n">
        <f aca="false">IF($C$129&lt;K134,K122,IF(K134&lt;0,O122,K134))</f>
        <v>4904.07902549039</v>
      </c>
      <c r="O122" s="138"/>
    </row>
    <row r="123" customFormat="false" ht="12.75" hidden="false" customHeight="false" outlineLevel="0" collapsed="false">
      <c r="A123" s="178"/>
      <c r="B123" s="178"/>
      <c r="C123" s="172" t="n">
        <f aca="false">T20</f>
        <v>0.1</v>
      </c>
      <c r="D123" s="173" t="n">
        <f aca="false">IF($C$129&lt;C135,"",IF(C135&lt;0,E123,C135))</f>
        <v>1609.0160923003</v>
      </c>
      <c r="E123" s="182" t="n">
        <f aca="false">IF($C$129&lt;D135,D123,IF(D135&lt;0,F123,D135))</f>
        <v>1671.28462768237</v>
      </c>
      <c r="F123" s="174" t="n">
        <f aca="false">IF($C$129&lt;E135,E123,IF(E135&lt;0,G123,E135))</f>
        <v>1858.09023382859</v>
      </c>
      <c r="G123" s="174" t="n">
        <f aca="false">IF($C$129&lt;F135,F123,IF(F135&lt;0,H123,F135))</f>
        <v>2169.43291073896</v>
      </c>
      <c r="H123" s="174" t="n">
        <f aca="false">IF($C$129&lt;G135,G123,IF(G135&lt;0,I123,G135))</f>
        <v>2605.31265841347</v>
      </c>
      <c r="I123" s="174" t="n">
        <f aca="false">IF($C$129&lt;H135,H123,IF(H135&lt;0,J123,H135))</f>
        <v>3165.72947685213</v>
      </c>
      <c r="J123" s="174" t="n">
        <f aca="false">IF($C$129&lt;I135,I123,IF(I135&lt;0,K123,I135))</f>
        <v>3850.68336605493</v>
      </c>
      <c r="K123" s="174" t="n">
        <f aca="false">IF($C$129&lt;J135,J123,IF(J135&lt;0,L123,J135))</f>
        <v>4660.17432602188</v>
      </c>
      <c r="L123" s="175" t="n">
        <f aca="false">IF($C$129&lt;K135,K123,IF(K135&lt;0,O123,K135))</f>
        <v>5594.20235675297</v>
      </c>
      <c r="O123" s="138"/>
    </row>
    <row r="124" customFormat="false" ht="12.75" hidden="false" customHeight="false" outlineLevel="0" collapsed="false">
      <c r="A124" s="178"/>
      <c r="B124" s="178"/>
      <c r="C124" s="172" t="n">
        <f aca="false">T19</f>
        <v>0.2</v>
      </c>
      <c r="D124" s="173" t="n">
        <f aca="false">IF($C$129&lt;C136,"",IF(C136&lt;0,E124,C136))</f>
        <v>2952.56975578665</v>
      </c>
      <c r="E124" s="182" t="n">
        <f aca="false">IF($C$129&lt;D136,D124,IF(D136&lt;0,F124,D136))</f>
        <v>3014.83829116872</v>
      </c>
      <c r="F124" s="174" t="n">
        <f aca="false">IF($C$129&lt;E136,E124,IF(E136&lt;0,G124,E136))</f>
        <v>3201.64389731494</v>
      </c>
      <c r="G124" s="174" t="n">
        <f aca="false">IF($C$129&lt;F136,F124,IF(F136&lt;0,H124,F136))</f>
        <v>3512.9865742253</v>
      </c>
      <c r="H124" s="174" t="n">
        <f aca="false">IF($C$129&lt;G136,G124,IF(G136&lt;0,I124,G136))</f>
        <v>3948.86632189982</v>
      </c>
      <c r="I124" s="174" t="n">
        <f aca="false">IF($C$129&lt;H136,H124,IF(H136&lt;0,J124,H136))</f>
        <v>4509.28314033847</v>
      </c>
      <c r="J124" s="174" t="n">
        <f aca="false">IF($C$129&lt;I136,I124,IF(I136&lt;0,K124,I136))</f>
        <v>5194.23702954128</v>
      </c>
      <c r="K124" s="174" t="n">
        <f aca="false">IF($C$129&lt;J136,J124,IF(J136&lt;0,L124,J136))</f>
        <v>6003.72798950822</v>
      </c>
      <c r="L124" s="175" t="n">
        <f aca="false">IF($C$129&lt;K136,K124,IF(K136&lt;0,O124,K136))</f>
        <v>6937.75602023932</v>
      </c>
      <c r="O124" s="138"/>
    </row>
    <row r="125" customFormat="false" ht="12.75" hidden="false" customHeight="false" outlineLevel="0" collapsed="false">
      <c r="A125" s="178"/>
      <c r="B125" s="178"/>
      <c r="C125" s="172" t="n">
        <f aca="false">T18</f>
        <v>0.3</v>
      </c>
      <c r="D125" s="173" t="n">
        <f aca="false">IF($C$129&lt;C137,"",IF(C137&lt;0,E125,C137))</f>
        <v>4219.26612618164</v>
      </c>
      <c r="E125" s="182" t="n">
        <f aca="false">IF($C$129&lt;D137,D125,IF(D137&lt;0,F125,D137))</f>
        <v>4281.53466156372</v>
      </c>
      <c r="F125" s="174" t="n">
        <f aca="false">IF($C$129&lt;E137,E125,IF(E137&lt;0,G125,E137))</f>
        <v>4468.34026770994</v>
      </c>
      <c r="G125" s="174" t="n">
        <f aca="false">IF($C$129&lt;F137,F125,IF(F137&lt;0,H125,F137))</f>
        <v>4779.6829446203</v>
      </c>
      <c r="H125" s="174" t="n">
        <f aca="false">IF($C$129&lt;G137,G125,IF(G137&lt;0,I125,G137))</f>
        <v>5215.56269229481</v>
      </c>
      <c r="I125" s="174" t="n">
        <f aca="false">IF($C$129&lt;H137,H125,IF(H137&lt;0,J125,H137))</f>
        <v>5775.97951073347</v>
      </c>
      <c r="J125" s="174" t="n">
        <f aca="false">IF($C$129&lt;I137,I125,IF(I137&lt;0,K125,I137))</f>
        <v>6460.93339993627</v>
      </c>
      <c r="K125" s="174" t="n">
        <f aca="false">IF($C$129&lt;J137,J125,IF(J137&lt;0,L125,J137))</f>
        <v>7270.42435990322</v>
      </c>
      <c r="L125" s="175" t="n">
        <f aca="false">IF($C$129&lt;K137,K125,IF(K137&lt;0,O125,K137))</f>
        <v>8204.45239063431</v>
      </c>
      <c r="O125" s="138"/>
    </row>
    <row r="126" customFormat="false" ht="12.75" hidden="false" customHeight="false" outlineLevel="0" collapsed="false">
      <c r="A126" s="178"/>
      <c r="B126" s="178"/>
      <c r="C126" s="172" t="n">
        <f aca="false">T17</f>
        <v>0.5</v>
      </c>
      <c r="D126" s="173" t="n">
        <f aca="false">IF($C$129&lt;C138,"",IF(C138&lt;0,E126,C138))</f>
        <v>6433.65517719434</v>
      </c>
      <c r="E126" s="182" t="n">
        <f aca="false">IF($C$129&lt;D138,D126,IF(D138&lt;0,F126,D138))</f>
        <v>6495.92371257641</v>
      </c>
      <c r="F126" s="174" t="n">
        <f aca="false">IF($C$129&lt;E138,E126,IF(E138&lt;0,G126,E138))</f>
        <v>6682.72931872263</v>
      </c>
      <c r="G126" s="174" t="n">
        <f aca="false">IF($C$129&lt;F138,F126,IF(F138&lt;0,H126,F138))</f>
        <v>6994.071995633</v>
      </c>
      <c r="H126" s="174" t="n">
        <f aca="false">IF($C$129&lt;G138,G126,IF(G138&lt;0,I126,G138))</f>
        <v>7429.95174330751</v>
      </c>
      <c r="I126" s="174" t="n">
        <f aca="false">IF($C$129&lt;H138,H126,IF(H138&lt;0,J126,H138))</f>
        <v>7990.36856174616</v>
      </c>
      <c r="J126" s="174" t="n">
        <f aca="false">IF($C$129&lt;I138,I126,IF(I138&lt;0,K126,I138))</f>
        <v>8675.32245094897</v>
      </c>
      <c r="K126" s="174" t="n">
        <f aca="false">IF($C$129&lt;J138,J126,IF(J138&lt;0,L126,J138))</f>
        <v>9484.81341091592</v>
      </c>
      <c r="L126" s="175" t="n">
        <f aca="false">IF($C$129&lt;K138,K126,IF(K138&lt;0,O126,K138))</f>
        <v>10418.841441647</v>
      </c>
      <c r="O126" s="138"/>
    </row>
    <row r="127" customFormat="false" ht="12.75" hidden="false" customHeight="false" outlineLevel="0" collapsed="false">
      <c r="A127" s="178"/>
      <c r="B127" s="178"/>
      <c r="C127" s="172" t="n">
        <f aca="false">T16</f>
        <v>0.8</v>
      </c>
      <c r="D127" s="173" t="n">
        <f aca="false">IF($C$129&lt;C139,"",IF(C139&lt;0,E127,C139))</f>
        <v>8882.42031405633</v>
      </c>
      <c r="E127" s="182" t="n">
        <f aca="false">IF($C$129&lt;D139,D127,IF(D139&lt;0,F127,D139))</f>
        <v>8944.68884943841</v>
      </c>
      <c r="F127" s="174" t="n">
        <f aca="false">IF($C$129&lt;E139,E127,IF(E139&lt;0,G127,E139))</f>
        <v>9131.49445558463</v>
      </c>
      <c r="G127" s="174" t="n">
        <f aca="false">IF($C$129&lt;F139,F127,IF(F139&lt;0,H127,F139))</f>
        <v>9442.83713249499</v>
      </c>
      <c r="H127" s="174" t="n">
        <f aca="false">IF($C$129&lt;G139,G127,IF(G139&lt;0,I127,G139))</f>
        <v>9878.7168801695</v>
      </c>
      <c r="I127" s="174" t="n">
        <f aca="false">IF($C$129&lt;H139,H127,IF(H139&lt;0,J127,H139))</f>
        <v>10439.1336986082</v>
      </c>
      <c r="J127" s="174" t="n">
        <f aca="false">IF($C$129&lt;I139,I127,IF(I139&lt;0,K127,I139))</f>
        <v>11124.087587811</v>
      </c>
      <c r="K127" s="174" t="n">
        <f aca="false">IF($C$129&lt;J139,J127,IF(J139&lt;0,L127,J139))</f>
        <v>11933.5785477779</v>
      </c>
      <c r="L127" s="175" t="n">
        <f aca="false">IF($C$129&lt;K139,K127,IF(K139&lt;0,O127,K139))</f>
        <v>12867.606578509</v>
      </c>
      <c r="O127" s="138"/>
    </row>
    <row r="128" customFormat="false" ht="12.75" hidden="false" customHeight="false" outlineLevel="0" collapsed="false">
      <c r="A128" s="178"/>
      <c r="B128" s="178"/>
      <c r="C128" s="172" t="n">
        <f aca="false">T15</f>
        <v>99.99</v>
      </c>
      <c r="D128" s="173" t="n">
        <f aca="false">IF($C$129&lt;C140,"",IF(C140&lt;0,E128,C140))</f>
        <v>13941.5434254879</v>
      </c>
      <c r="E128" s="182" t="n">
        <f aca="false">IF($C$129&lt;D140,D128,IF(D140&lt;0,F128,D140))</f>
        <v>14003.8119608699</v>
      </c>
      <c r="F128" s="174" t="n">
        <f aca="false">IF($C$129&lt;E140,E128,IF(E140&lt;0,G128,E140))</f>
        <v>14190.6175670162</v>
      </c>
      <c r="G128" s="174" t="n">
        <f aca="false">IF($C$129&lt;F140,F128,IF(F140&lt;0,H128,F140))</f>
        <v>14501.9602439265</v>
      </c>
      <c r="H128" s="174" t="n">
        <f aca="false">IF($C$129&lt;G140,G128,IF(G140&lt;0,I128,G140))</f>
        <v>14937.839991601</v>
      </c>
      <c r="I128" s="174" t="n">
        <f aca="false">IF($C$129&lt;H140,H128,IF(H140&lt;0,J128,H140))</f>
        <v>15498.2568100397</v>
      </c>
      <c r="J128" s="174" t="n">
        <f aca="false">IF($C$129&lt;I140,I128,IF(I140&lt;0,K128,I140))</f>
        <v>15498.2568100397</v>
      </c>
      <c r="K128" s="174" t="n">
        <f aca="false">IF($C$129&lt;J140,J128,IF(J140&lt;0,L128,J140))</f>
        <v>15498.2568100397</v>
      </c>
      <c r="L128" s="175" t="n">
        <f aca="false">IF($C$129&lt;K140,K128,IF(K140&lt;0,O128,K140))</f>
        <v>15498.2568100397</v>
      </c>
      <c r="O128" s="138"/>
    </row>
    <row r="129" customFormat="false" ht="13.5" hidden="false" customHeight="false" outlineLevel="0" collapsed="false">
      <c r="A129" s="183" t="s">
        <v>76</v>
      </c>
      <c r="B129" s="183"/>
      <c r="C129" s="184" t="n">
        <f aca="false">D129*E129</f>
        <v>15538.0517792541</v>
      </c>
      <c r="D129" s="185" t="n">
        <f aca="false">O10</f>
        <v>1.02</v>
      </c>
      <c r="E129" s="186" t="n">
        <f aca="false">MAX(C83:M96)</f>
        <v>15233.384097308</v>
      </c>
      <c r="F129" s="186"/>
      <c r="G129" s="186"/>
      <c r="H129" s="186"/>
      <c r="I129" s="187"/>
      <c r="J129" s="187"/>
      <c r="K129" s="187"/>
      <c r="L129" s="188"/>
      <c r="O129" s="138"/>
    </row>
    <row r="130" customFormat="false" ht="13.5" hidden="false" customHeight="false" outlineLevel="0" collapsed="false"/>
    <row r="131" customFormat="false" ht="12.75" hidden="false" customHeight="true" outlineLevel="0" collapsed="false">
      <c r="A131" s="189" t="s">
        <v>77</v>
      </c>
      <c r="B131" s="189"/>
      <c r="C131" s="190" t="n">
        <f aca="false">1.293/2*(D$108/3.6)^2*$N$4*$L$4+$I$4*9.81*$G$4*COS(ATAN($C119))+$I$4*9.81*SIN(ATAN($C119))</f>
        <v>-1165.14958407953</v>
      </c>
      <c r="D131" s="191" t="n">
        <f aca="false">1.293/2*(E$108/3.6)^2*$N$4*$L$4+$I$4*9.81*$G$4*COS(ATAN($C119))+$I$4*9.81*SIN(ATAN($C119))</f>
        <v>-1102.88104869746</v>
      </c>
      <c r="E131" s="191" t="n">
        <f aca="false">1.293/2*(F$108/3.6)^2*$N$4*$L$4+$I$4*9.81*$G$4*COS(ATAN($C119))+$I$4*9.81*SIN(ATAN($C119))</f>
        <v>-916.075442551237</v>
      </c>
      <c r="F131" s="191" t="n">
        <f aca="false">1.293/2*(G$108/3.6)^2*$N$4*$L$4+$I$4*9.81*$G$4*COS(ATAN($C119))+$I$4*9.81*SIN(ATAN($C119))</f>
        <v>-604.732765640872</v>
      </c>
      <c r="G131" s="191" t="n">
        <f aca="false">1.293/2*(H$108/3.6)^2*$N$4*$L$4+$I$4*9.81*$G$4*COS(ATAN($C119))+$I$4*9.81*SIN(ATAN($C119))</f>
        <v>-168.853017966361</v>
      </c>
      <c r="H131" s="191" t="n">
        <f aca="false">1.293/2*(I$108/3.6)^2*$N$4*$L$4+$I$4*9.81*$G$4*COS(ATAN($C119))+$I$4*9.81*SIN(ATAN($C119))</f>
        <v>391.563800472295</v>
      </c>
      <c r="I131" s="191" t="n">
        <f aca="false">1.293/2*(J$108/3.6)^2*$N$4*$L$4+$I$4*9.81*$G$4*COS(ATAN($C119))+$I$4*9.81*SIN(ATAN($C119))</f>
        <v>1076.5176896751</v>
      </c>
      <c r="J131" s="191" t="n">
        <f aca="false">1.293/2*(K$108/3.6)^2*$N$4*$L$4+$I$4*9.81*$G$4*COS(ATAN($C119))+$I$4*9.81*SIN(ATAN($C119))</f>
        <v>1886.00864964204</v>
      </c>
      <c r="K131" s="192" t="n">
        <f aca="false">1.293/2*(L$108/3.6)^2*$N$4*$L$4+$I$4*9.81*$G$4*COS(ATAN($C119))+$I$4*9.81*SIN(ATAN($C119))</f>
        <v>2820.03668037314</v>
      </c>
    </row>
    <row r="132" customFormat="false" ht="12.75" hidden="false" customHeight="false" outlineLevel="0" collapsed="false">
      <c r="A132" s="189"/>
      <c r="B132" s="189"/>
      <c r="C132" s="193" t="n">
        <f aca="false">1.293/2*(D$108/3.6)^2*$N$4*$L$4+$I$4*9.81*$G$4*COS(ATAN($C120))+$I$4*9.81*SIN(ATAN($C120))</f>
        <v>-473.368998110339</v>
      </c>
      <c r="D132" s="194" t="n">
        <f aca="false">1.293/2*(E$108/3.6)^2*$N$4*$L$4+$I$4*9.81*$G$4*COS(ATAN($C120))+$I$4*9.81*SIN(ATAN($C120))</f>
        <v>-411.100462728266</v>
      </c>
      <c r="E132" s="194" t="n">
        <f aca="false">1.293/2*(F$108/3.6)^2*$N$4*$L$4+$I$4*9.81*$G$4*COS(ATAN($C120))+$I$4*9.81*SIN(ATAN($C120))</f>
        <v>-224.294856582047</v>
      </c>
      <c r="F132" s="194" t="n">
        <f aca="false">1.293/2*(G$108/3.6)^2*$N$4*$L$4+$I$4*9.81*$G$4*COS(ATAN($C120))+$I$4*9.81*SIN(ATAN($C120))</f>
        <v>87.0478203283182</v>
      </c>
      <c r="G132" s="194" t="n">
        <f aca="false">1.293/2*(H$108/3.6)^2*$N$4*$L$4+$I$4*9.81*$G$4*COS(ATAN($C120))+$I$4*9.81*SIN(ATAN($C120))</f>
        <v>522.927568002829</v>
      </c>
      <c r="H132" s="194" t="n">
        <f aca="false">1.293/2*(I$108/3.6)^2*$N$4*$L$4+$I$4*9.81*$G$4*COS(ATAN($C120))+$I$4*9.81*SIN(ATAN($C120))</f>
        <v>1083.34438644149</v>
      </c>
      <c r="I132" s="194" t="n">
        <f aca="false">1.293/2*(J$108/3.6)^2*$N$4*$L$4+$I$4*9.81*$G$4*COS(ATAN($C120))+$I$4*9.81*SIN(ATAN($C120))</f>
        <v>1768.29827564429</v>
      </c>
      <c r="J132" s="194" t="n">
        <f aca="false">1.293/2*(K$108/3.6)^2*$N$4*$L$4+$I$4*9.81*$G$4*COS(ATAN($C120))+$I$4*9.81*SIN(ATAN($C120))</f>
        <v>2577.78923561123</v>
      </c>
      <c r="K132" s="195" t="n">
        <f aca="false">1.293/2*(L$108/3.6)^2*$N$4*$L$4+$I$4*9.81*$G$4*COS(ATAN($C120))+$I$4*9.81*SIN(ATAN($C120))</f>
        <v>3511.81726634233</v>
      </c>
    </row>
    <row r="133" customFormat="false" ht="12.75" hidden="false" customHeight="false" outlineLevel="0" collapsed="false">
      <c r="A133" s="189"/>
      <c r="B133" s="189"/>
      <c r="C133" s="193" t="n">
        <f aca="false">1.293/2*(D$108/3.6)^2*$N$4*$L$4+$I$4*9.81*$G$4*COS(ATAN($C121))+$I$4*9.81*SIN(ATAN($C121))</f>
        <v>223.04016</v>
      </c>
      <c r="D133" s="194" t="n">
        <f aca="false">1.293/2*(E$108/3.6)^2*$N$4*$L$4+$I$4*9.81*$G$4*COS(ATAN($C121))+$I$4*9.81*SIN(ATAN($C121))</f>
        <v>285.308695382073</v>
      </c>
      <c r="E133" s="194" t="n">
        <f aca="false">1.293/2*(F$108/3.6)^2*$N$4*$L$4+$I$4*9.81*$G$4*COS(ATAN($C121))+$I$4*9.81*SIN(ATAN($C121))</f>
        <v>472.114301528292</v>
      </c>
      <c r="F133" s="194" t="n">
        <f aca="false">1.293/2*(G$108/3.6)^2*$N$4*$L$4+$I$4*9.81*$G$4*COS(ATAN($C121))+$I$4*9.81*SIN(ATAN($C121))</f>
        <v>783.456978438657</v>
      </c>
      <c r="G133" s="194" t="n">
        <f aca="false">1.293/2*(H$108/3.6)^2*$N$4*$L$4+$I$4*9.81*$G$4*COS(ATAN($C121))+$I$4*9.81*SIN(ATAN($C121))</f>
        <v>1219.33672611317</v>
      </c>
      <c r="H133" s="194" t="n">
        <f aca="false">1.293/2*(I$108/3.6)^2*$N$4*$L$4+$I$4*9.81*$G$4*COS(ATAN($C121))+$I$4*9.81*SIN(ATAN($C121))</f>
        <v>1779.75354455182</v>
      </c>
      <c r="I133" s="194" t="n">
        <f aca="false">1.293/2*(J$108/3.6)^2*$N$4*$L$4+$I$4*9.81*$G$4*COS(ATAN($C121))+$I$4*9.81*SIN(ATAN($C121))</f>
        <v>2464.70743375463</v>
      </c>
      <c r="J133" s="194" t="n">
        <f aca="false">1.293/2*(K$108/3.6)^2*$N$4*$L$4+$I$4*9.81*$G$4*COS(ATAN($C121))+$I$4*9.81*SIN(ATAN($C121))</f>
        <v>3274.19839372157</v>
      </c>
      <c r="K133" s="195" t="n">
        <f aca="false">1.293/2*(L$108/3.6)^2*$N$4*$L$4+$I$4*9.81*$G$4*COS(ATAN($C121))+$I$4*9.81*SIN(ATAN($C121))</f>
        <v>4208.22642445267</v>
      </c>
    </row>
    <row r="134" customFormat="false" ht="12.75" hidden="false" customHeight="false" outlineLevel="0" collapsed="false">
      <c r="A134" s="189"/>
      <c r="B134" s="189"/>
      <c r="C134" s="193" t="n">
        <f aca="false">1.293/2*(D$108/3.6)^2*$N$4*$L$4+$I$4*9.81*$G$4*COS(ATAN($C122))+$I$4*9.81*SIN(ATAN($C122))</f>
        <v>918.892761037716</v>
      </c>
      <c r="D134" s="194" t="n">
        <f aca="false">1.293/2*(E$108/3.6)^2*$N$4*$L$4+$I$4*9.81*$G$4*COS(ATAN($C122))+$I$4*9.81*SIN(ATAN($C122))</f>
        <v>981.161296419789</v>
      </c>
      <c r="E134" s="194" t="n">
        <f aca="false">1.293/2*(F$108/3.6)^2*$N$4*$L$4+$I$4*9.81*$G$4*COS(ATAN($C122))+$I$4*9.81*SIN(ATAN($C122))</f>
        <v>1167.96690256601</v>
      </c>
      <c r="F134" s="194" t="n">
        <f aca="false">1.293/2*(G$108/3.6)^2*$N$4*$L$4+$I$4*9.81*$G$4*COS(ATAN($C122))+$I$4*9.81*SIN(ATAN($C122))</f>
        <v>1479.30957947637</v>
      </c>
      <c r="G134" s="194" t="n">
        <f aca="false">1.293/2*(H$108/3.6)^2*$N$4*$L$4+$I$4*9.81*$G$4*COS(ATAN($C122))+$I$4*9.81*SIN(ATAN($C122))</f>
        <v>1915.18932715088</v>
      </c>
      <c r="H134" s="194" t="n">
        <f aca="false">1.293/2*(I$108/3.6)^2*$N$4*$L$4+$I$4*9.81*$G$4*COS(ATAN($C122))+$I$4*9.81*SIN(ATAN($C122))</f>
        <v>2475.60614558954</v>
      </c>
      <c r="I134" s="194" t="n">
        <f aca="false">1.293/2*(J$108/3.6)^2*$N$4*$L$4+$I$4*9.81*$G$4*COS(ATAN($C122))+$I$4*9.81*SIN(ATAN($C122))</f>
        <v>3160.56003479234</v>
      </c>
      <c r="J134" s="194" t="n">
        <f aca="false">1.293/2*(K$108/3.6)^2*$N$4*$L$4+$I$4*9.81*$G$4*COS(ATAN($C122))+$I$4*9.81*SIN(ATAN($C122))</f>
        <v>3970.05099475929</v>
      </c>
      <c r="K134" s="195" t="n">
        <f aca="false">1.293/2*(L$108/3.6)^2*$N$4*$L$4+$I$4*9.81*$G$4*COS(ATAN($C122))+$I$4*9.81*SIN(ATAN($C122))</f>
        <v>4904.07902549039</v>
      </c>
    </row>
    <row r="135" customFormat="false" ht="12.75" hidden="false" customHeight="false" outlineLevel="0" collapsed="false">
      <c r="A135" s="189"/>
      <c r="B135" s="189"/>
      <c r="C135" s="193" t="n">
        <f aca="false">1.293/2*(D$108/3.6)^2*$N$4*$L$4+$I$4*9.81*$G$4*COS(ATAN($C123))+$I$4*9.81*SIN(ATAN($C123))</f>
        <v>1609.0160923003</v>
      </c>
      <c r="D135" s="194" t="n">
        <f aca="false">1.293/2*(E$108/3.6)^2*$N$4*$L$4+$I$4*9.81*$G$4*COS(ATAN($C123))+$I$4*9.81*SIN(ATAN($C123))</f>
        <v>1671.28462768237</v>
      </c>
      <c r="E135" s="194" t="n">
        <f aca="false">1.293/2*(F$108/3.6)^2*$N$4*$L$4+$I$4*9.81*$G$4*COS(ATAN($C123))+$I$4*9.81*SIN(ATAN($C123))</f>
        <v>1858.09023382859</v>
      </c>
      <c r="F135" s="194" t="n">
        <f aca="false">1.293/2*(G$108/3.6)^2*$N$4*$L$4+$I$4*9.81*$G$4*COS(ATAN($C123))+$I$4*9.81*SIN(ATAN($C123))</f>
        <v>2169.43291073896</v>
      </c>
      <c r="G135" s="194" t="n">
        <f aca="false">1.293/2*(H$108/3.6)^2*$N$4*$L$4+$I$4*9.81*$G$4*COS(ATAN($C123))+$I$4*9.81*SIN(ATAN($C123))</f>
        <v>2605.31265841347</v>
      </c>
      <c r="H135" s="194" t="n">
        <f aca="false">1.293/2*(I$108/3.6)^2*$N$4*$L$4+$I$4*9.81*$G$4*COS(ATAN($C123))+$I$4*9.81*SIN(ATAN($C123))</f>
        <v>3165.72947685213</v>
      </c>
      <c r="I135" s="194" t="n">
        <f aca="false">1.293/2*(J$108/3.6)^2*$N$4*$L$4+$I$4*9.81*$G$4*COS(ATAN($C123))+$I$4*9.81*SIN(ATAN($C123))</f>
        <v>3850.68336605493</v>
      </c>
      <c r="J135" s="194" t="n">
        <f aca="false">1.293/2*(K$108/3.6)^2*$N$4*$L$4+$I$4*9.81*$G$4*COS(ATAN($C123))+$I$4*9.81*SIN(ATAN($C123))</f>
        <v>4660.17432602188</v>
      </c>
      <c r="K135" s="195" t="n">
        <f aca="false">1.293/2*(L$108/3.6)^2*$N$4*$L$4+$I$4*9.81*$G$4*COS(ATAN($C123))+$I$4*9.81*SIN(ATAN($C123))</f>
        <v>5594.20235675297</v>
      </c>
    </row>
    <row r="136" customFormat="false" ht="12.75" hidden="false" customHeight="false" outlineLevel="0" collapsed="false">
      <c r="A136" s="189"/>
      <c r="B136" s="189"/>
      <c r="C136" s="193" t="n">
        <f aca="false">1.293/2*(D$108/3.6)^2*$N$4*$L$4+$I$4*9.81*$G$4*COS(ATAN($C124))+$I$4*9.81*SIN(ATAN($C124))</f>
        <v>2952.56975578665</v>
      </c>
      <c r="D136" s="194" t="n">
        <f aca="false">1.293/2*(E$108/3.6)^2*$N$4*$L$4+$I$4*9.81*$G$4*COS(ATAN($C124))+$I$4*9.81*SIN(ATAN($C124))</f>
        <v>3014.83829116872</v>
      </c>
      <c r="E136" s="194" t="n">
        <f aca="false">1.293/2*(F$108/3.6)^2*$N$4*$L$4+$I$4*9.81*$G$4*COS(ATAN($C124))+$I$4*9.81*SIN(ATAN($C124))</f>
        <v>3201.64389731494</v>
      </c>
      <c r="F136" s="194" t="n">
        <f aca="false">1.293/2*(G$108/3.6)^2*$N$4*$L$4+$I$4*9.81*$G$4*COS(ATAN($C124))+$I$4*9.81*SIN(ATAN($C124))</f>
        <v>3512.9865742253</v>
      </c>
      <c r="G136" s="194" t="n">
        <f aca="false">1.293/2*(H$108/3.6)^2*$N$4*$L$4+$I$4*9.81*$G$4*COS(ATAN($C124))+$I$4*9.81*SIN(ATAN($C124))</f>
        <v>3948.86632189982</v>
      </c>
      <c r="H136" s="194" t="n">
        <f aca="false">1.293/2*(I$108/3.6)^2*$N$4*$L$4+$I$4*9.81*$G$4*COS(ATAN($C124))+$I$4*9.81*SIN(ATAN($C124))</f>
        <v>4509.28314033847</v>
      </c>
      <c r="I136" s="194" t="n">
        <f aca="false">1.293/2*(J$108/3.6)^2*$N$4*$L$4+$I$4*9.81*$G$4*COS(ATAN($C124))+$I$4*9.81*SIN(ATAN($C124))</f>
        <v>5194.23702954128</v>
      </c>
      <c r="J136" s="194" t="n">
        <f aca="false">1.293/2*(K$108/3.6)^2*$N$4*$L$4+$I$4*9.81*$G$4*COS(ATAN($C124))+$I$4*9.81*SIN(ATAN($C124))</f>
        <v>6003.72798950822</v>
      </c>
      <c r="K136" s="195" t="n">
        <f aca="false">1.293/2*(L$108/3.6)^2*$N$4*$L$4+$I$4*9.81*$G$4*COS(ATAN($C124))+$I$4*9.81*SIN(ATAN($C124))</f>
        <v>6937.75602023932</v>
      </c>
    </row>
    <row r="137" customFormat="false" ht="12.75" hidden="false" customHeight="false" outlineLevel="0" collapsed="false">
      <c r="A137" s="189"/>
      <c r="B137" s="189"/>
      <c r="C137" s="193" t="n">
        <f aca="false">1.293/2*(D$108/3.6)^2*$N$4*$L$4+$I$4*9.81*$G$4*COS(ATAN($C125))+$I$4*9.81*SIN(ATAN($C125))</f>
        <v>4219.26612618164</v>
      </c>
      <c r="D137" s="194" t="n">
        <f aca="false">1.293/2*(E$108/3.6)^2*$N$4*$L$4+$I$4*9.81*$G$4*COS(ATAN($C125))+$I$4*9.81*SIN(ATAN($C125))</f>
        <v>4281.53466156372</v>
      </c>
      <c r="E137" s="194" t="n">
        <f aca="false">1.293/2*(F$108/3.6)^2*$N$4*$L$4+$I$4*9.81*$G$4*COS(ATAN($C125))+$I$4*9.81*SIN(ATAN($C125))</f>
        <v>4468.34026770994</v>
      </c>
      <c r="F137" s="194" t="n">
        <f aca="false">1.293/2*(G$108/3.6)^2*$N$4*$L$4+$I$4*9.81*$G$4*COS(ATAN($C125))+$I$4*9.81*SIN(ATAN($C125))</f>
        <v>4779.6829446203</v>
      </c>
      <c r="G137" s="194" t="n">
        <f aca="false">1.293/2*(H$108/3.6)^2*$N$4*$L$4+$I$4*9.81*$G$4*COS(ATAN($C125))+$I$4*9.81*SIN(ATAN($C125))</f>
        <v>5215.56269229481</v>
      </c>
      <c r="H137" s="194" t="n">
        <f aca="false">1.293/2*(I$108/3.6)^2*$N$4*$L$4+$I$4*9.81*$G$4*COS(ATAN($C125))+$I$4*9.81*SIN(ATAN($C125))</f>
        <v>5775.97951073347</v>
      </c>
      <c r="I137" s="194" t="n">
        <f aca="false">1.293/2*(J$108/3.6)^2*$N$4*$L$4+$I$4*9.81*$G$4*COS(ATAN($C125))+$I$4*9.81*SIN(ATAN($C125))</f>
        <v>6460.93339993627</v>
      </c>
      <c r="J137" s="194" t="n">
        <f aca="false">1.293/2*(K$108/3.6)^2*$N$4*$L$4+$I$4*9.81*$G$4*COS(ATAN($C125))+$I$4*9.81*SIN(ATAN($C125))</f>
        <v>7270.42435990322</v>
      </c>
      <c r="K137" s="195" t="n">
        <f aca="false">1.293/2*(L$108/3.6)^2*$N$4*$L$4+$I$4*9.81*$G$4*COS(ATAN($C125))+$I$4*9.81*SIN(ATAN($C125))</f>
        <v>8204.45239063431</v>
      </c>
    </row>
    <row r="138" customFormat="false" ht="12.75" hidden="false" customHeight="false" outlineLevel="0" collapsed="false">
      <c r="A138" s="189"/>
      <c r="B138" s="189"/>
      <c r="C138" s="193" t="n">
        <f aca="false">1.293/2*(D$108/3.6)^2*$N$4*$L$4+$I$4*9.81*$G$4*COS(ATAN($C126))+$I$4*9.81*SIN(ATAN($C126))</f>
        <v>6433.65517719434</v>
      </c>
      <c r="D138" s="194" t="n">
        <f aca="false">1.293/2*(E$108/3.6)^2*$N$4*$L$4+$I$4*9.81*$G$4*COS(ATAN($C126))+$I$4*9.81*SIN(ATAN($C126))</f>
        <v>6495.92371257641</v>
      </c>
      <c r="E138" s="194" t="n">
        <f aca="false">1.293/2*(F$108/3.6)^2*$N$4*$L$4+$I$4*9.81*$G$4*COS(ATAN($C126))+$I$4*9.81*SIN(ATAN($C126))</f>
        <v>6682.72931872263</v>
      </c>
      <c r="F138" s="194" t="n">
        <f aca="false">1.293/2*(G$108/3.6)^2*$N$4*$L$4+$I$4*9.81*$G$4*COS(ATAN($C126))+$I$4*9.81*SIN(ATAN($C126))</f>
        <v>6994.071995633</v>
      </c>
      <c r="G138" s="194" t="n">
        <f aca="false">1.293/2*(H$108/3.6)^2*$N$4*$L$4+$I$4*9.81*$G$4*COS(ATAN($C126))+$I$4*9.81*SIN(ATAN($C126))</f>
        <v>7429.95174330751</v>
      </c>
      <c r="H138" s="194" t="n">
        <f aca="false">1.293/2*(I$108/3.6)^2*$N$4*$L$4+$I$4*9.81*$G$4*COS(ATAN($C126))+$I$4*9.81*SIN(ATAN($C126))</f>
        <v>7990.36856174616</v>
      </c>
      <c r="I138" s="194" t="n">
        <f aca="false">1.293/2*(J$108/3.6)^2*$N$4*$L$4+$I$4*9.81*$G$4*COS(ATAN($C126))+$I$4*9.81*SIN(ATAN($C126))</f>
        <v>8675.32245094897</v>
      </c>
      <c r="J138" s="194" t="n">
        <f aca="false">1.293/2*(K$108/3.6)^2*$N$4*$L$4+$I$4*9.81*$G$4*COS(ATAN($C126))+$I$4*9.81*SIN(ATAN($C126))</f>
        <v>9484.81341091592</v>
      </c>
      <c r="K138" s="195" t="n">
        <f aca="false">1.293/2*(L$108/3.6)^2*$N$4*$L$4+$I$4*9.81*$G$4*COS(ATAN($C126))+$I$4*9.81*SIN(ATAN($C126))</f>
        <v>10418.841441647</v>
      </c>
    </row>
    <row r="139" customFormat="false" ht="12.75" hidden="false" customHeight="false" outlineLevel="0" collapsed="false">
      <c r="A139" s="189"/>
      <c r="B139" s="189"/>
      <c r="C139" s="193" t="n">
        <f aca="false">1.293/2*(D$108/3.6)^2*$N$4*$L$4+$I$4*9.81*$G$4*COS(ATAN($C127))+$I$4*9.81*SIN(ATAN($C127))</f>
        <v>8882.42031405633</v>
      </c>
      <c r="D139" s="194" t="n">
        <f aca="false">1.293/2*(E$108/3.6)^2*$N$4*$L$4+$I$4*9.81*$G$4*COS(ATAN($C127))+$I$4*9.81*SIN(ATAN($C127))</f>
        <v>8944.68884943841</v>
      </c>
      <c r="E139" s="194" t="n">
        <f aca="false">1.293/2*(F$108/3.6)^2*$N$4*$L$4+$I$4*9.81*$G$4*COS(ATAN($C127))+$I$4*9.81*SIN(ATAN($C127))</f>
        <v>9131.49445558463</v>
      </c>
      <c r="F139" s="194" t="n">
        <f aca="false">1.293/2*(G$108/3.6)^2*$N$4*$L$4+$I$4*9.81*$G$4*COS(ATAN($C127))+$I$4*9.81*SIN(ATAN($C127))</f>
        <v>9442.83713249499</v>
      </c>
      <c r="G139" s="194" t="n">
        <f aca="false">1.293/2*(H$108/3.6)^2*$N$4*$L$4+$I$4*9.81*$G$4*COS(ATAN($C127))+$I$4*9.81*SIN(ATAN($C127))</f>
        <v>9878.7168801695</v>
      </c>
      <c r="H139" s="194" t="n">
        <f aca="false">1.293/2*(I$108/3.6)^2*$N$4*$L$4+$I$4*9.81*$G$4*COS(ATAN($C127))+$I$4*9.81*SIN(ATAN($C127))</f>
        <v>10439.1336986082</v>
      </c>
      <c r="I139" s="194" t="n">
        <f aca="false">1.293/2*(J$108/3.6)^2*$N$4*$L$4+$I$4*9.81*$G$4*COS(ATAN($C127))+$I$4*9.81*SIN(ATAN($C127))</f>
        <v>11124.087587811</v>
      </c>
      <c r="J139" s="194" t="n">
        <f aca="false">1.293/2*(K$108/3.6)^2*$N$4*$L$4+$I$4*9.81*$G$4*COS(ATAN($C127))+$I$4*9.81*SIN(ATAN($C127))</f>
        <v>11933.5785477779</v>
      </c>
      <c r="K139" s="195" t="n">
        <f aca="false">1.293/2*(L$108/3.6)^2*$N$4*$L$4+$I$4*9.81*$G$4*COS(ATAN($C127))+$I$4*9.81*SIN(ATAN($C127))</f>
        <v>12867.606578509</v>
      </c>
    </row>
    <row r="140" customFormat="false" ht="13.5" hidden="false" customHeight="false" outlineLevel="0" collapsed="false">
      <c r="A140" s="189"/>
      <c r="B140" s="189"/>
      <c r="C140" s="196" t="n">
        <f aca="false">1.293/2*(D$108/3.6)^2*$N$4*$L$4+$I$4*9.81*$G$4*COS(ATAN($C128))+$I$4*9.81*SIN(ATAN($C128))</f>
        <v>13941.5434254879</v>
      </c>
      <c r="D140" s="197" t="n">
        <f aca="false">1.293/2*(E$108/3.6)^2*$N$4*$L$4+$I$4*9.81*$G$4*COS(ATAN($C128))+$I$4*9.81*SIN(ATAN($C128))</f>
        <v>14003.8119608699</v>
      </c>
      <c r="E140" s="197" t="n">
        <f aca="false">1.293/2*(F$108/3.6)^2*$N$4*$L$4+$I$4*9.81*$G$4*COS(ATAN($C128))+$I$4*9.81*SIN(ATAN($C128))</f>
        <v>14190.6175670162</v>
      </c>
      <c r="F140" s="197" t="n">
        <f aca="false">1.293/2*(G$108/3.6)^2*$N$4*$L$4+$I$4*9.81*$G$4*COS(ATAN($C128))+$I$4*9.81*SIN(ATAN($C128))</f>
        <v>14501.9602439265</v>
      </c>
      <c r="G140" s="197" t="n">
        <f aca="false">1.293/2*(H$108/3.6)^2*$N$4*$L$4+$I$4*9.81*$G$4*COS(ATAN($C128))+$I$4*9.81*SIN(ATAN($C128))</f>
        <v>14937.839991601</v>
      </c>
      <c r="H140" s="197" t="n">
        <f aca="false">1.293/2*(I$108/3.6)^2*$N$4*$L$4+$I$4*9.81*$G$4*COS(ATAN($C128))+$I$4*9.81*SIN(ATAN($C128))</f>
        <v>15498.2568100397</v>
      </c>
      <c r="I140" s="197" t="n">
        <f aca="false">1.293/2*(J$108/3.6)^2*$N$4*$L$4+$I$4*9.81*$G$4*COS(ATAN($C128))+$I$4*9.81*SIN(ATAN($C128))</f>
        <v>16183.2106992425</v>
      </c>
      <c r="J140" s="197" t="n">
        <f aca="false">1.293/2*(K$108/3.6)^2*$N$4*$L$4+$I$4*9.81*$G$4*COS(ATAN($C128))+$I$4*9.81*SIN(ATAN($C128))</f>
        <v>16992.7016592094</v>
      </c>
      <c r="K140" s="198" t="n">
        <f aca="false">1.293/2*(L$108/3.6)^2*$N$4*$L$4+$I$4*9.81*$G$4*COS(ATAN($C128))+$I$4*9.81*SIN(ATAN($C128))</f>
        <v>17926.7296899405</v>
      </c>
    </row>
    <row r="142" customFormat="false" ht="13.5" hidden="false" customHeight="false" outlineLevel="0" collapsed="false"/>
    <row r="143" customFormat="false" ht="12.75" hidden="false" customHeight="false" outlineLevel="0" collapsed="false">
      <c r="A143" s="199" t="s">
        <v>78</v>
      </c>
      <c r="B143" s="142" t="n">
        <f aca="false">'Leistung u. Drehmoment'!C5</f>
        <v>26</v>
      </c>
      <c r="C143" s="142" t="n">
        <f aca="false">'Leistung u. Drehmoment'!D5</f>
        <v>60.7329842931937</v>
      </c>
      <c r="D143" s="142" t="n">
        <f aca="false">'Leistung u. Drehmoment'!E5</f>
        <v>102.094240837696</v>
      </c>
      <c r="E143" s="142" t="n">
        <f aca="false">'Leistung u. Drehmoment'!F5</f>
        <v>148.69109947644</v>
      </c>
      <c r="F143" s="142" t="n">
        <f aca="false">'Leistung u. Drehmoment'!G5</f>
        <v>189.842931937173</v>
      </c>
      <c r="G143" s="142" t="n">
        <f aca="false">'Leistung u. Drehmoment'!H5</f>
        <v>226.178010471204</v>
      </c>
      <c r="H143" s="142" t="n">
        <f aca="false">'Leistung u. Drehmoment'!I5</f>
        <v>252.879581151832</v>
      </c>
      <c r="I143" s="142" t="n">
        <f aca="false">'Leistung u. Drehmoment'!J5</f>
        <v>265</v>
      </c>
      <c r="J143" s="142" t="n">
        <f aca="false">'Leistung u. Drehmoment'!K5</f>
        <v>264</v>
      </c>
      <c r="K143" s="142" t="n">
        <f aca="false">'Leistung u. Drehmoment'!L5</f>
        <v>264</v>
      </c>
      <c r="L143" s="143" t="n">
        <f aca="false">MAX(B143:K143)</f>
        <v>265</v>
      </c>
    </row>
    <row r="144" customFormat="false" ht="12.75" hidden="false" customHeight="false" outlineLevel="0" collapsed="false">
      <c r="A144" s="200" t="s">
        <v>79</v>
      </c>
      <c r="B144" s="201" t="n">
        <f aca="false">'Leistung u. Drehmoment'!C4</f>
        <v>248.3</v>
      </c>
      <c r="C144" s="201" t="n">
        <f aca="false">'Leistung u. Drehmoment'!D4</f>
        <v>290</v>
      </c>
      <c r="D144" s="201" t="n">
        <f aca="false">'Leistung u. Drehmoment'!E4</f>
        <v>325</v>
      </c>
      <c r="E144" s="201" t="n">
        <f aca="false">'Leistung u. Drehmoment'!F4</f>
        <v>355</v>
      </c>
      <c r="F144" s="201" t="n">
        <f aca="false">'Leistung u. Drehmoment'!G4</f>
        <v>370</v>
      </c>
      <c r="G144" s="201" t="n">
        <f aca="false">'Leistung u. Drehmoment'!H4</f>
        <v>360</v>
      </c>
      <c r="H144" s="201" t="n">
        <f aca="false">'Leistung u. Drehmoment'!I4</f>
        <v>345</v>
      </c>
      <c r="I144" s="201" t="n">
        <f aca="false">'Leistung u. Drehmoment'!J4</f>
        <v>320.348101265823</v>
      </c>
      <c r="J144" s="201" t="n">
        <f aca="false">'Leistung u. Drehmoment'!K4</f>
        <v>315.15</v>
      </c>
      <c r="K144" s="201" t="n">
        <f aca="false">'Leistung u. Drehmoment'!L4</f>
        <v>315.15</v>
      </c>
      <c r="L144" s="202" t="n">
        <f aca="false">HLOOKUP(L143,B143:K145,2,FALSE())</f>
        <v>320.348101265823</v>
      </c>
    </row>
    <row r="145" customFormat="false" ht="13.5" hidden="false" customHeight="false" outlineLevel="0" collapsed="false">
      <c r="A145" s="203" t="s">
        <v>80</v>
      </c>
      <c r="B145" s="197" t="n">
        <f aca="false">'Leistung u. Drehmoment'!C1</f>
        <v>1000</v>
      </c>
      <c r="C145" s="197" t="n">
        <f aca="false">'Leistung u. Drehmoment'!D1</f>
        <v>2000</v>
      </c>
      <c r="D145" s="197" t="n">
        <f aca="false">'Leistung u. Drehmoment'!E1</f>
        <v>3000</v>
      </c>
      <c r="E145" s="197" t="n">
        <f aca="false">'Leistung u. Drehmoment'!F1</f>
        <v>4000</v>
      </c>
      <c r="F145" s="197" t="n">
        <f aca="false">'Leistung u. Drehmoment'!G1</f>
        <v>4900</v>
      </c>
      <c r="G145" s="197" t="n">
        <f aca="false">'Leistung u. Drehmoment'!H1</f>
        <v>6000</v>
      </c>
      <c r="H145" s="197" t="n">
        <f aca="false">'Leistung u. Drehmoment'!I1</f>
        <v>7000</v>
      </c>
      <c r="I145" s="197" t="n">
        <f aca="false">'Leistung u. Drehmoment'!J1</f>
        <v>7900</v>
      </c>
      <c r="J145" s="197" t="n">
        <f aca="false">'Leistung u. Drehmoment'!K1</f>
        <v>8000</v>
      </c>
      <c r="K145" s="197" t="n">
        <f aca="false">'Leistung u. Drehmoment'!L1</f>
        <v>0</v>
      </c>
      <c r="L145" s="204" t="n">
        <f aca="false">HLOOKUP(L143,B143:K145,3,FALSE())</f>
        <v>7900</v>
      </c>
    </row>
    <row r="146" customFormat="false" ht="13.5" hidden="false" customHeight="false" outlineLevel="0" collapsed="false"/>
    <row r="147" customFormat="false" ht="12.75" hidden="false" customHeight="false" outlineLevel="0" collapsed="false">
      <c r="A147" s="205" t="s">
        <v>81</v>
      </c>
      <c r="B147" s="142" t="n">
        <f aca="false">MIN(M99:M105)/Q10</f>
        <v>58.1363813183269</v>
      </c>
      <c r="C147" s="142" t="n">
        <f aca="false">B147+($K147-$B147)/9</f>
        <v>87.9511704332289</v>
      </c>
      <c r="D147" s="142" t="n">
        <f aca="false">C147+($K147-$B147)/9</f>
        <v>117.765959548131</v>
      </c>
      <c r="E147" s="142" t="n">
        <f aca="false">D147+($K147-$B147)/9</f>
        <v>147.580748663033</v>
      </c>
      <c r="F147" s="142" t="n">
        <f aca="false">E147+($K147-$B147)/9</f>
        <v>177.395537777935</v>
      </c>
      <c r="G147" s="142" t="n">
        <f aca="false">F147+($K147-$B147)/9</f>
        <v>207.210326892837</v>
      </c>
      <c r="H147" s="142" t="n">
        <f aca="false">G147+($K147-$B147)/9</f>
        <v>237.025116007739</v>
      </c>
      <c r="I147" s="142" t="n">
        <f aca="false">H147+($K147-$B147)/9</f>
        <v>266.839905122641</v>
      </c>
      <c r="J147" s="142" t="n">
        <f aca="false">I147+($K147-$B147)/9</f>
        <v>296.654694237543</v>
      </c>
      <c r="K147" s="143" t="n">
        <f aca="false">MAX(M99:M105)</f>
        <v>326.469483352445</v>
      </c>
    </row>
    <row r="148" customFormat="false" ht="12.75" hidden="false" customHeight="false" outlineLevel="0" collapsed="false">
      <c r="A148" s="206" t="s">
        <v>82</v>
      </c>
      <c r="B148" s="201" t="n">
        <f aca="false">3600*$L$143/B147*$B$149</f>
        <v>15599.0513932128</v>
      </c>
      <c r="C148" s="201" t="n">
        <f aca="false">3600*$L$143/C147*$B$149</f>
        <v>10311.0896140772</v>
      </c>
      <c r="D148" s="201" t="n">
        <f aca="false">3600*$L$143/D147*$B$149</f>
        <v>7700.63270812446</v>
      </c>
      <c r="E148" s="201" t="n">
        <f aca="false">3600*$L$143/E147*$B$149</f>
        <v>6144.92342812704</v>
      </c>
      <c r="F148" s="201" t="n">
        <f aca="false">3600*$L$143/F147*$B$149</f>
        <v>5112.14888130517</v>
      </c>
      <c r="G148" s="201" t="n">
        <f aca="false">3600*$L$143/G147*$B$149</f>
        <v>4376.57916764451</v>
      </c>
      <c r="H148" s="201" t="n">
        <f aca="false">3600*$L$143/H147*$B$149</f>
        <v>3826.0603571243</v>
      </c>
      <c r="I148" s="201" t="n">
        <f aca="false">3600*$L$143/I147*$B$149</f>
        <v>3398.56364280746</v>
      </c>
      <c r="J148" s="201" t="n">
        <f aca="false">3600*$L$143/J147*$B$149</f>
        <v>3056.99662811953</v>
      </c>
      <c r="K148" s="202" t="n">
        <f aca="false">3600*$L$143/K147*$B$149</f>
        <v>2777.81675238837</v>
      </c>
    </row>
    <row r="149" customFormat="false" ht="13.5" hidden="false" customHeight="false" outlineLevel="0" collapsed="false">
      <c r="A149" s="207" t="s">
        <v>83</v>
      </c>
      <c r="B149" s="208" t="n">
        <f aca="false">C8*E8*MAX(F8:L8)</f>
        <v>0.9506</v>
      </c>
      <c r="C149" s="208"/>
      <c r="D149" s="208"/>
      <c r="E149" s="208"/>
      <c r="F149" s="208"/>
      <c r="G149" s="208"/>
      <c r="H149" s="208"/>
      <c r="I149" s="208"/>
      <c r="J149" s="208"/>
      <c r="K149" s="204"/>
    </row>
  </sheetData>
  <mergeCells count="53">
    <mergeCell ref="A1:N1"/>
    <mergeCell ref="A2:H2"/>
    <mergeCell ref="I2:N2"/>
    <mergeCell ref="D3:E3"/>
    <mergeCell ref="G3:H3"/>
    <mergeCell ref="L3:M3"/>
    <mergeCell ref="D4:E4"/>
    <mergeCell ref="G4:H4"/>
    <mergeCell ref="L4:M4"/>
    <mergeCell ref="A6:B7"/>
    <mergeCell ref="M6:N7"/>
    <mergeCell ref="A8:B8"/>
    <mergeCell ref="C8:D8"/>
    <mergeCell ref="M8:N8"/>
    <mergeCell ref="C52:E52"/>
    <mergeCell ref="C53:E53"/>
    <mergeCell ref="C54:E54"/>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F98:G98"/>
    <mergeCell ref="A108:B118"/>
    <mergeCell ref="A119:B128"/>
    <mergeCell ref="A129:B129"/>
    <mergeCell ref="A131:B140"/>
  </mergeCells>
  <conditionalFormatting sqref="T24">
    <cfRule type="cellIs" priority="2" operator="equal" aboveAverage="0" equalAverage="0" bottom="0" percent="0" rank="0" text="" dxfId="0">
      <formula>E109+T24</formula>
    </cfRule>
  </conditionalFormatting>
  <conditionalFormatting sqref="T23">
    <cfRule type="cellIs" priority="3" operator="equal" aboveAverage="0" equalAverage="0" bottom="0" percent="0" rank="0" text="" dxfId="1">
      <formula>E110+T23</formula>
    </cfRule>
  </conditionalFormatting>
  <conditionalFormatting sqref="T22">
    <cfRule type="cellIs" priority="4" operator="equal" aboveAverage="0" equalAverage="0" bottom="0" percent="0" rank="0" text="" dxfId="2">
      <formula>E111+T22</formula>
    </cfRule>
  </conditionalFormatting>
  <conditionalFormatting sqref="T21">
    <cfRule type="cellIs" priority="5" operator="equal" aboveAverage="0" equalAverage="0" bottom="0" percent="0" rank="0" text="" dxfId="3">
      <formula>E112+T21</formula>
    </cfRule>
  </conditionalFormatting>
  <conditionalFormatting sqref="T20">
    <cfRule type="cellIs" priority="6" operator="equal" aboveAverage="0" equalAverage="0" bottom="0" percent="0" rank="0" text="" dxfId="4">
      <formula>E113+T20</formula>
    </cfRule>
  </conditionalFormatting>
  <conditionalFormatting sqref="T19">
    <cfRule type="cellIs" priority="7" operator="equal" aboveAverage="0" equalAverage="0" bottom="0" percent="0" rank="0" text="" dxfId="5">
      <formula>E114+T19</formula>
    </cfRule>
  </conditionalFormatting>
  <conditionalFormatting sqref="T18">
    <cfRule type="cellIs" priority="8" operator="equal" aboveAverage="0" equalAverage="0" bottom="0" percent="0" rank="0" text="" dxfId="6">
      <formula>E115+T18</formula>
    </cfRule>
  </conditionalFormatting>
  <conditionalFormatting sqref="T17">
    <cfRule type="cellIs" priority="9" operator="equal" aboveAverage="0" equalAverage="0" bottom="0" percent="0" rank="0" text="" dxfId="7">
      <formula>E116+T17</formula>
    </cfRule>
  </conditionalFormatting>
  <conditionalFormatting sqref="T16">
    <cfRule type="cellIs" priority="10" operator="equal" aboveAverage="0" equalAverage="0" bottom="0" percent="0" rank="0" text="" dxfId="8">
      <formula>E117+T16</formula>
    </cfRule>
  </conditionalFormatting>
  <conditionalFormatting sqref="T15">
    <cfRule type="cellIs" priority="11" operator="equal" aboveAverage="0" equalAverage="0" bottom="0" percent="0" rank="0" text="" dxfId="9">
      <formula>E118+T15</formula>
    </cfRule>
  </conditionalFormatting>
  <dataValidations count="1">
    <dataValidation allowBlank="true" error="Hier werden alle Werte automatisch berechnet." errorStyle="stop" errorTitle="Der größte aller Rechner:" operator="equal" showDropDown="false" showErrorMessage="true" showInputMessage="false" sqref="A83:M96 A97:O97 O98:O129 A106:E129 H106:L106 F107:L129 A130:O130 A131 C131:K140 O131:O140" type="textLength">
      <formula1>0</formula1>
      <formula2>0</formula2>
    </dataValidation>
  </dataValidations>
  <printOptions headings="false" gridLines="false" gridLinesSet="true" horizontalCentered="true" verticalCentered="true"/>
  <pageMargins left="0.590277777777778" right="0.236111111111111" top="0.35416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2</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2001-04-29T19:08:53Z</dcterms:created>
  <dc:creator>Christian Mintel (mintel@online.de)</dc:creator>
  <dc:description>siehe Kommentare in den jeweiligen Zellen</dc:description>
  <dc:language>de-DE</dc:language>
  <cp:lastModifiedBy/>
  <cp:lastPrinted>2004-09-26T12:52:55Z</cp:lastPrinted>
  <dcterms:modified xsi:type="dcterms:W3CDTF">2025-01-28T22:55:35Z</dcterms:modified>
  <cp:revision>4</cp:revision>
  <dc:subject/>
  <dc:title>Leistung-Zugkraft-Getriebediagramm</dc:title>
</cp:coreProperties>
</file>