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7410" windowHeight="4845" tabRatio="784" activeTab="3"/>
  </bookViews>
  <sheets>
    <sheet name="Kinematik" sheetId="1" r:id="rId1"/>
    <sheet name="Massenkräfte" sheetId="2" r:id="rId2"/>
    <sheet name="Ausgleich Einzylinder" sheetId="3" r:id="rId3"/>
    <sheet name="Ausgleich Vierzylinder" sheetId="4" r:id="rId4"/>
    <sheet name="Ausgleich Dreizylinder" sheetId="5" r:id="rId5"/>
    <sheet name="Näherung" sheetId="6" r:id="rId6"/>
    <sheet name="Geschränkter Kurbeltrieb" sheetId="7" r:id="rId7"/>
  </sheets>
  <definedNames>
    <definedName name="_xlnm.Print_Area" localSheetId="2">'Ausgleich Einzylinder'!$A$4:$G$93</definedName>
    <definedName name="_xlnm.Print_Area" localSheetId="6">'Geschränkter Kurbeltrieb'!$G$1:$N$54</definedName>
    <definedName name="_xlnm.Print_Area" localSheetId="0">'Kinematik'!$G$1:$M$54</definedName>
    <definedName name="_xlnm.Print_Area" localSheetId="1">'Massenkräfte'!$A$1:$G$90</definedName>
  </definedNames>
  <calcPr fullCalcOnLoad="1"/>
</workbook>
</file>

<file path=xl/comments3.xml><?xml version="1.0" encoding="utf-8"?>
<comments xmlns="http://schemas.openxmlformats.org/spreadsheetml/2006/main">
  <authors>
    <author>Christian Mintel</author>
  </authors>
  <commentList>
    <comment ref="AC7" authorId="0">
      <text>
        <r>
          <rPr>
            <b/>
            <sz val="8"/>
            <rFont val="Tahoma"/>
            <family val="0"/>
          </rPr>
          <t>Fläche des Polardiagramms im Quadrat bei
73 % Ausgleich  minimal</t>
        </r>
      </text>
    </comment>
    <comment ref="H2" authorId="0">
      <text>
        <r>
          <rPr>
            <sz val="8"/>
            <rFont val="Tahoma"/>
            <family val="2"/>
          </rPr>
          <t xml:space="preserve">Für einen Kurbelradius r=39 und eine Pleuellänge l= 141,5 ergeben sich die folgenden sinnvollen Ausgleichswerte:
Bei 52 % wird der Kraftmittelwert über dem Kurbelwinkel minimal.
Bei 0 % und bei 73 % hat der Flächeninhalt im Polarkraftdiagramm (Kraft über dem Kurbelwinkel) jeweils ein Minimum. Dann ist die Änderung der Kraft über dem Kurbelwinkel minimal. Der Flächeninhalt bei 22,2 % ist gleich groß, wie der Flächeninhalt bei 73 %.
Bei 78,71 % wird die maximale oszillierende Kraft 1. Ordnung ausgeglichen. Bei Verwendung einer Ausgleichswelle und einer Aufteilung von 39,35 % der Fmax jeweils auf Ausgleichswelle und Kurbelwelle wird das Flächenintegral der resultiernden freien Kraft über dem Kurbelwinkel minimal.
Für andere Kurbelradien und Pleuellängen ergeben sich jeweils andere Werte für den Ausgleich. 
Die Kraft der Ausgleichsmaßnahme ist 
</t>
        </r>
        <r>
          <rPr>
            <sz val="10"/>
            <rFont val="Tahoma"/>
            <family val="2"/>
          </rPr>
          <t>F = m</t>
        </r>
        <r>
          <rPr>
            <vertAlign val="subscript"/>
            <sz val="10"/>
            <rFont val="Tahoma"/>
            <family val="2"/>
          </rPr>
          <t>rot</t>
        </r>
        <r>
          <rPr>
            <sz val="10"/>
            <rFont val="Tahoma"/>
            <family val="2"/>
          </rPr>
          <t>*r*ω²+(Ausgleichsfaktor)*m</t>
        </r>
        <r>
          <rPr>
            <vertAlign val="subscript"/>
            <sz val="10"/>
            <rFont val="Tahoma"/>
            <family val="2"/>
          </rPr>
          <t>osz</t>
        </r>
        <r>
          <rPr>
            <sz val="10"/>
            <rFont val="Tahoma"/>
            <family val="2"/>
          </rPr>
          <t>*r*ω²</t>
        </r>
      </text>
    </comment>
    <comment ref="J4" authorId="0">
      <text>
        <r>
          <rPr>
            <b/>
            <sz val="8"/>
            <rFont val="Tahoma"/>
            <family val="0"/>
          </rPr>
          <t>Maximale resultierende freie Kraft im Verhältnis zur maximalen freien Kraft ohne Ausgleich</t>
        </r>
      </text>
    </comment>
    <comment ref="I4" authorId="0">
      <text>
        <r>
          <rPr>
            <b/>
            <sz val="8"/>
            <rFont val="Tahoma"/>
            <family val="0"/>
          </rPr>
          <t>Fläche des Polardiagramms im Quadrat.
Bei 73 % Ausgleich  minimal, wenn der Kurbelradius 39 mm und die Pleuellänge 141,5 mm beträgt.</t>
        </r>
      </text>
    </comment>
    <comment ref="H4" authorId="0">
      <text>
        <r>
          <rPr>
            <b/>
            <sz val="8"/>
            <rFont val="Tahoma"/>
            <family val="0"/>
          </rPr>
          <t>Integral der Resultierenden über dem Kurbelwinkel.
Entspricht dem Mittelwert der freien Kraft über 360° Kurbelwinkel.
Für39mm Kurbelradius und 141,5 mm Pleuellänge wird dieser Wert minimal.</t>
        </r>
      </text>
    </comment>
  </commentList>
</comments>
</file>

<file path=xl/comments6.xml><?xml version="1.0" encoding="utf-8"?>
<comments xmlns="http://schemas.openxmlformats.org/spreadsheetml/2006/main">
  <authors>
    <author>Christian Mintel</author>
  </authors>
  <commentList>
    <comment ref="P1" authorId="0">
      <text>
        <r>
          <rPr>
            <sz val="8"/>
            <rFont val="Tahoma"/>
            <family val="2"/>
          </rPr>
          <t>Abweichung der Näherungslösung von der exakten Lösung.</t>
        </r>
        <r>
          <rPr>
            <sz val="8"/>
            <rFont val="Tahoma"/>
            <family val="0"/>
          </rPr>
          <t xml:space="preserve">
</t>
        </r>
      </text>
    </comment>
  </commentList>
</comments>
</file>

<file path=xl/sharedStrings.xml><?xml version="1.0" encoding="utf-8"?>
<sst xmlns="http://schemas.openxmlformats.org/spreadsheetml/2006/main" count="107" uniqueCount="43">
  <si>
    <t>Kurbelwinkel</t>
  </si>
  <si>
    <t>1. Ordnung</t>
  </si>
  <si>
    <t>2.Ordnung</t>
  </si>
  <si>
    <t>4.Ordnung</t>
  </si>
  <si>
    <t>6.Ordnung</t>
  </si>
  <si>
    <t>Gesamtkraft</t>
  </si>
  <si>
    <t>Kurbelradius:</t>
  </si>
  <si>
    <t>Pleuellänge:</t>
  </si>
  <si>
    <t>Ausgleich
1. Ordnung</t>
  </si>
  <si>
    <t>Ausgleich
1. u. 2. Ordnung</t>
  </si>
  <si>
    <t>Fmax:</t>
  </si>
  <si>
    <t>Kolbenweg</t>
  </si>
  <si>
    <t>Geschwindigkeit</t>
  </si>
  <si>
    <t>Beschleunigung</t>
  </si>
  <si>
    <r>
      <t>Kurbelradius</t>
    </r>
    <r>
      <rPr>
        <sz val="10"/>
        <rFont val="Arial"/>
        <family val="0"/>
      </rPr>
      <t xml:space="preserve">
mm</t>
    </r>
  </si>
  <si>
    <r>
      <t>Pleuellänge</t>
    </r>
    <r>
      <rPr>
        <sz val="10"/>
        <rFont val="Arial"/>
        <family val="0"/>
      </rPr>
      <t xml:space="preserve">
mm</t>
    </r>
  </si>
  <si>
    <r>
      <t>Drehzahl</t>
    </r>
    <r>
      <rPr>
        <sz val="10"/>
        <rFont val="Arial"/>
        <family val="0"/>
      </rPr>
      <t xml:space="preserve">
1/min</t>
    </r>
  </si>
  <si>
    <r>
      <t>v</t>
    </r>
    <r>
      <rPr>
        <u val="single"/>
        <vertAlign val="subscript"/>
        <sz val="10"/>
        <rFont val="Arial"/>
        <family val="2"/>
      </rPr>
      <t>max</t>
    </r>
    <r>
      <rPr>
        <vertAlign val="subscript"/>
        <sz val="10"/>
        <rFont val="Arial"/>
        <family val="2"/>
      </rPr>
      <t xml:space="preserve">
</t>
    </r>
    <r>
      <rPr>
        <sz val="10"/>
        <rFont val="Arial"/>
        <family val="2"/>
      </rPr>
      <t>m/s</t>
    </r>
  </si>
  <si>
    <r>
      <t>v</t>
    </r>
    <r>
      <rPr>
        <u val="single"/>
        <vertAlign val="subscript"/>
        <sz val="10"/>
        <rFont val="Arial"/>
        <family val="2"/>
      </rPr>
      <t>mittel</t>
    </r>
    <r>
      <rPr>
        <vertAlign val="subscript"/>
        <sz val="10"/>
        <rFont val="Arial"/>
        <family val="2"/>
      </rPr>
      <t xml:space="preserve">
</t>
    </r>
    <r>
      <rPr>
        <sz val="10"/>
        <rFont val="Arial"/>
        <family val="2"/>
      </rPr>
      <t>m/s</t>
    </r>
  </si>
  <si>
    <t>s/%</t>
  </si>
  <si>
    <t>v/%</t>
  </si>
  <si>
    <t>a/%</t>
  </si>
  <si>
    <t>Zyl. 1</t>
  </si>
  <si>
    <t>Zyl. 2</t>
  </si>
  <si>
    <t>Zyl. 3</t>
  </si>
  <si>
    <t>Summe</t>
  </si>
  <si>
    <t>Vert</t>
  </si>
  <si>
    <t>Hor</t>
  </si>
  <si>
    <t>Res</t>
  </si>
  <si>
    <t>Integral Fres</t>
  </si>
  <si>
    <t>Winkel der Resultierenden zum OT</t>
  </si>
  <si>
    <t>Prozent Ausgleich</t>
  </si>
  <si>
    <t>°KW</t>
  </si>
  <si>
    <t>Delta Res</t>
  </si>
  <si>
    <t>Fmittel</t>
  </si>
  <si>
    <t>Apolar</t>
  </si>
  <si>
    <t>Fresmax/Fmax</t>
  </si>
  <si>
    <r>
      <t xml:space="preserve">Schränkung
</t>
    </r>
    <r>
      <rPr>
        <sz val="10"/>
        <rFont val="Arial"/>
        <family val="2"/>
      </rPr>
      <t>mm</t>
    </r>
  </si>
  <si>
    <t>Zyl. 4</t>
  </si>
  <si>
    <r>
      <t>m</t>
    </r>
    <r>
      <rPr>
        <vertAlign val="subscript"/>
        <sz val="10"/>
        <rFont val="Arial"/>
        <family val="2"/>
      </rPr>
      <t>osz</t>
    </r>
  </si>
  <si>
    <t>n</t>
  </si>
  <si>
    <t>F</t>
  </si>
  <si>
    <r>
      <t>Fmax</t>
    </r>
    <r>
      <rPr>
        <sz val="10"/>
        <rFont val="Arial"/>
        <family val="2"/>
      </rPr>
      <t>·</t>
    </r>
    <r>
      <rPr>
        <sz val="10"/>
        <rFont val="Arial"/>
        <family val="0"/>
      </rPr>
      <t>m·r·ω</t>
    </r>
    <r>
      <rPr>
        <vertAlign val="superscript"/>
        <sz val="10"/>
        <rFont val="Arial"/>
        <family val="2"/>
      </rPr>
      <t>2</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</si>
</sst>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
    <numFmt numFmtId="174" formatCode="0.000"/>
    <numFmt numFmtId="175" formatCode="0.00000"/>
    <numFmt numFmtId="176" formatCode="0.000000"/>
    <numFmt numFmtId="177" formatCode="#\°"/>
    <numFmt numFmtId="178" formatCode="0\°"/>
  </numFmts>
  <fonts count="34">
    <font>
      <sz val="10"/>
      <name val="Arial"/>
      <family val="0"/>
    </font>
    <font>
      <sz val="11.75"/>
      <name val="Arial"/>
      <family val="0"/>
    </font>
    <font>
      <b/>
      <sz val="10"/>
      <name val="Arial"/>
      <family val="2"/>
    </font>
    <font>
      <b/>
      <sz val="12"/>
      <name val="Arial"/>
      <family val="2"/>
    </font>
    <font>
      <sz val="10.25"/>
      <name val="Arial"/>
      <family val="0"/>
    </font>
    <font>
      <sz val="12"/>
      <name val="Arial"/>
      <family val="0"/>
    </font>
    <font>
      <sz val="8"/>
      <name val="Arial"/>
      <family val="0"/>
    </font>
    <font>
      <u val="single"/>
      <sz val="10"/>
      <name val="Arial"/>
      <family val="2"/>
    </font>
    <font>
      <u val="single"/>
      <vertAlign val="subscript"/>
      <sz val="10"/>
      <name val="Arial"/>
      <family val="2"/>
    </font>
    <font>
      <vertAlign val="subscript"/>
      <sz val="10"/>
      <name val="Arial"/>
      <family val="2"/>
    </font>
    <font>
      <sz val="15.25"/>
      <name val="Arial"/>
      <family val="0"/>
    </font>
    <font>
      <sz val="14.75"/>
      <name val="Arial"/>
      <family val="0"/>
    </font>
    <font>
      <sz val="13.75"/>
      <name val="Arial"/>
      <family val="0"/>
    </font>
    <font>
      <vertAlign val="superscript"/>
      <sz val="12"/>
      <name val="Arial"/>
      <family val="2"/>
    </font>
    <font>
      <sz val="14"/>
      <name val="Arial"/>
      <family val="0"/>
    </font>
    <font>
      <u val="single"/>
      <sz val="10"/>
      <color indexed="12"/>
      <name val="Arial"/>
      <family val="0"/>
    </font>
    <font>
      <u val="single"/>
      <sz val="10"/>
      <color indexed="36"/>
      <name val="Arial"/>
      <family val="0"/>
    </font>
    <font>
      <sz val="14.5"/>
      <name val="Arial"/>
      <family val="0"/>
    </font>
    <font>
      <sz val="17.25"/>
      <name val="Arial"/>
      <family val="0"/>
    </font>
    <font>
      <sz val="11.25"/>
      <name val="Arial"/>
      <family val="0"/>
    </font>
    <font>
      <b/>
      <vertAlign val="subscript"/>
      <sz val="10"/>
      <name val="Arial"/>
      <family val="2"/>
    </font>
    <font>
      <sz val="14.25"/>
      <name val="Arial"/>
      <family val="0"/>
    </font>
    <font>
      <b/>
      <sz val="8"/>
      <name val="Tahoma"/>
      <family val="0"/>
    </font>
    <font>
      <sz val="8"/>
      <name val="Tahoma"/>
      <family val="2"/>
    </font>
    <font>
      <sz val="10"/>
      <name val="Tahoma"/>
      <family val="2"/>
    </font>
    <font>
      <vertAlign val="subscript"/>
      <sz val="10"/>
      <name val="Tahoma"/>
      <family val="2"/>
    </font>
    <font>
      <vertAlign val="superscript"/>
      <sz val="10"/>
      <name val="Arial"/>
      <family val="2"/>
    </font>
    <font>
      <b/>
      <u val="single"/>
      <sz val="10"/>
      <name val="Arial"/>
      <family val="2"/>
    </font>
    <font>
      <u val="single"/>
      <sz val="12"/>
      <name val="Arial"/>
      <family val="2"/>
    </font>
    <font>
      <b/>
      <u val="single"/>
      <vertAlign val="subscript"/>
      <sz val="10"/>
      <name val="Arial"/>
      <family val="2"/>
    </font>
    <font>
      <sz val="16.5"/>
      <name val="Arial"/>
      <family val="0"/>
    </font>
    <font>
      <b/>
      <i/>
      <sz val="12"/>
      <name val="Times New Roman"/>
      <family val="1"/>
    </font>
    <font>
      <b/>
      <i/>
      <vertAlign val="subscript"/>
      <sz val="12"/>
      <name val="Times New Roman"/>
      <family val="1"/>
    </font>
    <font>
      <b/>
      <sz val="8"/>
      <name val="Arial"/>
      <family val="2"/>
    </font>
  </fonts>
  <fills count="2">
    <fill>
      <patternFill/>
    </fill>
    <fill>
      <patternFill patternType="gray125"/>
    </fill>
  </fills>
  <borders count="16">
    <border>
      <left/>
      <right/>
      <top/>
      <bottom/>
      <diagonal/>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style="thin"/>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176" fontId="0" fillId="0" borderId="0" xfId="0" applyNumberForma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173" fontId="0" fillId="0" borderId="7" xfId="0" applyNumberFormat="1" applyBorder="1" applyAlignment="1">
      <alignment horizontal="center" vertical="center"/>
    </xf>
    <xf numFmtId="1" fontId="0" fillId="0" borderId="7" xfId="0" applyNumberFormat="1" applyBorder="1" applyAlignment="1">
      <alignment horizontal="center" vertical="center"/>
    </xf>
    <xf numFmtId="173"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3"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3" fontId="0" fillId="0" borderId="13" xfId="0" applyNumberFormat="1" applyBorder="1" applyAlignment="1">
      <alignment horizontal="center" vertical="center"/>
    </xf>
    <xf numFmtId="1" fontId="0" fillId="0" borderId="10" xfId="0" applyNumberFormat="1" applyBorder="1" applyAlignment="1">
      <alignment horizontal="center" vertical="center"/>
    </xf>
    <xf numFmtId="173" fontId="0" fillId="0" borderId="11" xfId="0" applyNumberFormat="1" applyBorder="1" applyAlignment="1">
      <alignment horizontal="center" vertical="center"/>
    </xf>
    <xf numFmtId="172" fontId="0" fillId="0" borderId="0" xfId="0" applyNumberFormat="1" applyAlignment="1">
      <alignment horizontal="center" vertical="center"/>
    </xf>
    <xf numFmtId="173" fontId="0" fillId="0" borderId="14" xfId="0" applyNumberFormat="1" applyBorder="1" applyAlignment="1">
      <alignment horizontal="center" vertical="center"/>
    </xf>
    <xf numFmtId="1" fontId="0" fillId="0" borderId="14" xfId="0" applyNumberFormat="1" applyBorder="1" applyAlignment="1">
      <alignment horizontal="center" vertical="center"/>
    </xf>
    <xf numFmtId="173" fontId="0" fillId="0" borderId="0" xfId="0" applyNumberFormat="1" applyAlignment="1">
      <alignment horizontal="center" vertical="center"/>
    </xf>
    <xf numFmtId="0" fontId="0" fillId="0" borderId="14" xfId="0" applyBorder="1" applyAlignment="1">
      <alignment horizontal="center" vertical="center"/>
    </xf>
    <xf numFmtId="2" fontId="0" fillId="0" borderId="14" xfId="0" applyNumberFormat="1" applyBorder="1" applyAlignment="1">
      <alignment horizontal="center" vertical="center"/>
    </xf>
    <xf numFmtId="2" fontId="0" fillId="0" borderId="13"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0" fontId="0" fillId="0" borderId="7" xfId="0" applyBorder="1" applyAlignment="1">
      <alignment horizontal="center" vertical="center"/>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ont="1" applyFill="1" applyBorder="1" applyAlignment="1">
      <alignment horizontal="center" vertical="center" wrapText="1"/>
    </xf>
    <xf numFmtId="0" fontId="0" fillId="0" borderId="3" xfId="0" applyBorder="1" applyAlignment="1">
      <alignment horizontal="center" vertical="center"/>
    </xf>
    <xf numFmtId="2" fontId="0" fillId="0" borderId="9" xfId="0" applyNumberFormat="1" applyBorder="1" applyAlignment="1">
      <alignment horizontal="center" vertical="center"/>
    </xf>
    <xf numFmtId="174" fontId="0" fillId="0" borderId="11" xfId="0" applyNumberFormat="1" applyBorder="1" applyAlignment="1">
      <alignment horizontal="center" vertical="center"/>
    </xf>
    <xf numFmtId="1" fontId="0" fillId="0" borderId="0" xfId="0" applyNumberFormat="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2" fontId="0" fillId="0" borderId="4" xfId="0" applyNumberFormat="1" applyBorder="1" applyAlignment="1">
      <alignment horizontal="center" vertical="center"/>
    </xf>
    <xf numFmtId="0" fontId="0" fillId="0" borderId="0" xfId="0" applyAlignment="1">
      <alignment horizontal="center"/>
    </xf>
    <xf numFmtId="0" fontId="0" fillId="0" borderId="13" xfId="0" applyBorder="1" applyAlignment="1">
      <alignment horizontal="center" vertical="center"/>
    </xf>
    <xf numFmtId="2" fontId="0" fillId="0" borderId="3" xfId="0" applyNumberFormat="1" applyBorder="1" applyAlignment="1">
      <alignment horizontal="center" vertical="center"/>
    </xf>
    <xf numFmtId="1" fontId="0" fillId="0" borderId="5" xfId="0" applyNumberFormat="1" applyBorder="1" applyAlignment="1">
      <alignment horizontal="center" vertical="center"/>
    </xf>
    <xf numFmtId="2"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1" xfId="0" applyNumberFormat="1" applyBorder="1" applyAlignment="1">
      <alignment horizontal="center" vertical="center"/>
    </xf>
    <xf numFmtId="1" fontId="0" fillId="0" borderId="0" xfId="0" applyNumberForma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Kolbenweg</a:t>
            </a:r>
          </a:p>
        </c:rich>
      </c:tx>
      <c:layout>
        <c:manualLayout>
          <c:xMode val="factor"/>
          <c:yMode val="factor"/>
          <c:x val="0"/>
          <c:y val="0"/>
        </c:manualLayout>
      </c:layout>
      <c:spPr>
        <a:noFill/>
        <a:ln>
          <a:noFill/>
        </a:ln>
      </c:spPr>
    </c:title>
    <c:plotArea>
      <c:layout>
        <c:manualLayout>
          <c:xMode val="edge"/>
          <c:yMode val="edge"/>
          <c:x val="0.01"/>
          <c:y val="0.1315"/>
          <c:w val="0.98375"/>
          <c:h val="0.86125"/>
        </c:manualLayout>
      </c:layout>
      <c:scatterChart>
        <c:scatterStyle val="smooth"/>
        <c:varyColors val="0"/>
        <c:ser>
          <c:idx val="0"/>
          <c:order val="0"/>
          <c:tx>
            <c:v>Kolbenweg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Kinematik!$A$2:$A$74</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Kinematik!$B$2:$B$74</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7762956"/>
        <c:axId val="2757741"/>
      </c:scatterChart>
      <c:valAx>
        <c:axId val="776295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425"/>
              <c:y val="0.095"/>
            </c:manualLayout>
          </c:layout>
          <c:overlay val="0"/>
          <c:spPr>
            <a:noFill/>
            <a:ln>
              <a:noFill/>
            </a:ln>
          </c:spPr>
        </c:title>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57741"/>
        <c:crosses val="autoZero"/>
        <c:crossBetween val="midCat"/>
        <c:dispUnits/>
        <c:majorUnit val="90"/>
        <c:minorUnit val="45"/>
      </c:valAx>
      <c:valAx>
        <c:axId val="2757741"/>
        <c:scaling>
          <c:orientation val="minMax"/>
        </c:scaling>
        <c:axPos val="l"/>
        <c:title>
          <c:tx>
            <c:rich>
              <a:bodyPr vert="horz" rot="0" anchor="ctr"/>
              <a:lstStyle/>
              <a:p>
                <a:pPr algn="l">
                  <a:defRPr/>
                </a:pPr>
                <a:r>
                  <a:rPr lang="en-US" cap="none" sz="1000" b="0" i="0" u="sng" baseline="0">
                    <a:latin typeface="Arial"/>
                    <a:ea typeface="Arial"/>
                    <a:cs typeface="Arial"/>
                  </a:rPr>
                  <a:t>  </a:t>
                </a:r>
                <a:r>
                  <a:rPr lang="en-US" cap="none" sz="1000" b="1" i="0" u="sng" baseline="0">
                    <a:latin typeface="Arial"/>
                    <a:ea typeface="Arial"/>
                    <a:cs typeface="Arial"/>
                  </a:rPr>
                  <a:t>s</a:t>
                </a:r>
                <a:r>
                  <a:rPr lang="en-US" cap="none" sz="1000" b="0" i="0" u="sng"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mm</a:t>
                </a:r>
              </a:p>
            </c:rich>
          </c:tx>
          <c:layout>
            <c:manualLayout>
              <c:xMode val="factor"/>
              <c:yMode val="factor"/>
              <c:x val="0.01125"/>
              <c:y val="0.175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762956"/>
        <c:crosses val="autoZero"/>
        <c:crossBetween val="midCat"/>
        <c:dispUnits/>
        <c:majorUnit val="10"/>
        <c:minorUnit val="5"/>
      </c:valAx>
      <c:spPr>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Ausgleich 1. und 2. Ordnung</a:t>
            </a:r>
          </a:p>
        </c:rich>
      </c:tx>
      <c:layout>
        <c:manualLayout>
          <c:xMode val="factor"/>
          <c:yMode val="factor"/>
          <c:x val="0"/>
          <c:y val="0"/>
        </c:manualLayout>
      </c:layout>
      <c:spPr>
        <a:noFill/>
        <a:ln>
          <a:noFill/>
        </a:ln>
      </c:spPr>
    </c:title>
    <c:plotArea>
      <c:layout>
        <c:manualLayout>
          <c:xMode val="edge"/>
          <c:yMode val="edge"/>
          <c:x val="0.0245"/>
          <c:y val="0.1655"/>
          <c:w val="0.9755"/>
          <c:h val="0.8345"/>
        </c:manualLayout>
      </c:layout>
      <c:scatterChart>
        <c:scatterStyle val="smooth"/>
        <c:varyColors val="0"/>
        <c:ser>
          <c:idx val="0"/>
          <c:order val="0"/>
          <c:tx>
            <c:strRef>
              <c:f>Massenkräfte!$Q$4</c:f>
              <c:strCache>
                <c:ptCount val="1"/>
                <c:pt idx="0">
                  <c:v>Ausgleich
1. u. 2. Ordnung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Massenkräfte!$Q$5:$Q$77</c:f>
              <c:numCache/>
            </c:numRef>
          </c:yVal>
          <c:smooth val="1"/>
        </c:ser>
        <c:axId val="45366950"/>
        <c:axId val="5649367"/>
      </c:scatterChart>
      <c:valAx>
        <c:axId val="45366950"/>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3725"/>
              <c:y val="0.09725"/>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5649367"/>
        <c:crossesAt val="0"/>
        <c:crossBetween val="midCat"/>
        <c:dispUnits/>
        <c:majorUnit val="90"/>
        <c:minorUnit val="15"/>
      </c:valAx>
      <c:valAx>
        <c:axId val="5649367"/>
        <c:scaling>
          <c:orientation val="minMax"/>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275"/>
              <c:y val="0.1735"/>
            </c:manualLayout>
          </c:layout>
          <c:overlay val="0"/>
          <c:spPr>
            <a:noFill/>
            <a:ln>
              <a:noFill/>
            </a:ln>
          </c:spPr>
        </c:title>
        <c:majorGridlines/>
        <c:delete val="0"/>
        <c:numFmt formatCode="0.000" sourceLinked="0"/>
        <c:majorTickMark val="out"/>
        <c:minorTickMark val="none"/>
        <c:tickLblPos val="nextTo"/>
        <c:txPr>
          <a:bodyPr/>
          <a:lstStyle/>
          <a:p>
            <a:pPr>
              <a:defRPr lang="en-US" cap="none" sz="1000" b="0" i="0" u="none" baseline="0">
                <a:latin typeface="Arial"/>
                <a:ea typeface="Arial"/>
                <a:cs typeface="Arial"/>
              </a:defRPr>
            </a:pPr>
          </a:p>
        </c:txPr>
        <c:crossAx val="45366950"/>
        <c:crosses val="autoZero"/>
        <c:crossBetween val="midCat"/>
        <c:dispUnits/>
        <c:majorUnit val="0.0021000000000000003"/>
        <c:minorUnit val="0.0021000000000000003"/>
      </c:valAx>
      <c:spPr>
        <a:solidFill>
          <a:srgbClr val="FFFFFF"/>
        </a:solidFill>
        <a:ln w="12700">
          <a:solidFill>
            <a:srgbClr val="00000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45"/>
          <c:y val="0.10725"/>
          <c:w val="0.9555"/>
          <c:h val="0.89275"/>
        </c:manualLayout>
      </c:layout>
      <c:scatterChart>
        <c:scatterStyle val="smooth"/>
        <c:varyColors val="0"/>
        <c:ser>
          <c:idx val="0"/>
          <c:order val="0"/>
          <c:tx>
            <c:strRef>
              <c:f>Massenkräfte!$J$4</c:f>
              <c:strCache>
                <c:ptCount val="1"/>
                <c:pt idx="0">
                  <c:v>Gesamtkraft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Massenkräfte!$J$5:$J$77</c:f>
              <c:numCache/>
            </c:numRef>
          </c:yVal>
          <c:smooth val="1"/>
        </c:ser>
        <c:axId val="50844304"/>
        <c:axId val="54945553"/>
      </c:scatterChart>
      <c:valAx>
        <c:axId val="50844304"/>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39"/>
              <c:y val="0.0975"/>
            </c:manualLayout>
          </c:layout>
          <c:overlay val="0"/>
          <c:spPr>
            <a:noFill/>
            <a:ln>
              <a:noFill/>
            </a:ln>
          </c:spPr>
        </c:title>
        <c:majorGridlines/>
        <c:delete val="0"/>
        <c:numFmt formatCode="0\°" sourceLinked="0"/>
        <c:majorTickMark val="none"/>
        <c:minorTickMark val="none"/>
        <c:tickLblPos val="low"/>
        <c:spPr>
          <a:ln w="25400">
            <a:solidFill/>
          </a:ln>
        </c:spPr>
        <c:crossAx val="54945553"/>
        <c:crossesAt val="0"/>
        <c:crossBetween val="midCat"/>
        <c:dispUnits/>
        <c:majorUnit val="90"/>
        <c:minorUnit val="15"/>
      </c:valAx>
      <c:valAx>
        <c:axId val="54945553"/>
        <c:scaling>
          <c:orientation val="minMax"/>
          <c:max val="1"/>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
              <c:y val="0.1795"/>
            </c:manualLayout>
          </c:layout>
          <c:overlay val="0"/>
          <c:spPr>
            <a:noFill/>
            <a:ln>
              <a:noFill/>
            </a:ln>
          </c:spPr>
        </c:title>
        <c:majorGridlines/>
        <c:delete val="0"/>
        <c:numFmt formatCode="0.0" sourceLinked="0"/>
        <c:majorTickMark val="out"/>
        <c:minorTickMark val="none"/>
        <c:tickLblPos val="nextTo"/>
        <c:crossAx val="50844304"/>
        <c:crosses val="autoZero"/>
        <c:crossBetween val="midCat"/>
        <c:dispUnits/>
        <c:majorUnit val="0.2"/>
      </c:valAx>
      <c:spPr>
        <a:solidFill>
          <a:srgbClr val="FFFFFF"/>
        </a:solid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Vertikalkraft über dem Kurbelwinkel
nach Ausgleich der rotierenden Massen</a:t>
            </a:r>
          </a:p>
        </c:rich>
      </c:tx>
      <c:layout>
        <c:manualLayout>
          <c:xMode val="factor"/>
          <c:yMode val="factor"/>
          <c:x val="0.04925"/>
          <c:y val="-0.0205"/>
        </c:manualLayout>
      </c:layout>
      <c:spPr>
        <a:noFill/>
        <a:ln>
          <a:noFill/>
        </a:ln>
      </c:spPr>
    </c:title>
    <c:plotArea>
      <c:layout>
        <c:manualLayout>
          <c:xMode val="edge"/>
          <c:yMode val="edge"/>
          <c:x val="0"/>
          <c:y val="0.1225"/>
          <c:w val="1"/>
          <c:h val="0.8775"/>
        </c:manualLayout>
      </c:layout>
      <c:scatterChart>
        <c:scatterStyle val="smooth"/>
        <c:varyColors val="0"/>
        <c:ser>
          <c:idx val="0"/>
          <c:order val="0"/>
          <c:tx>
            <c:strRef>
              <c:f>'Ausgleich Einzylinder'!$N$7</c:f>
              <c:strCache>
                <c:ptCount val="1"/>
                <c:pt idx="0">
                  <c:v>Gesamtkraft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Einzylinder'!$M$8:$M$80</c:f>
              <c:numCache/>
            </c:numRef>
          </c:xVal>
          <c:yVal>
            <c:numRef>
              <c:f>'Ausgleich Einzylinder'!$N$8:$N$80</c:f>
              <c:numCache/>
            </c:numRef>
          </c:yVal>
          <c:smooth val="1"/>
        </c:ser>
        <c:axId val="24747930"/>
        <c:axId val="21404779"/>
      </c:scatterChart>
      <c:valAx>
        <c:axId val="24747930"/>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65"/>
              <c:y val="0.0955"/>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21404779"/>
        <c:crossesAt val="0"/>
        <c:crossBetween val="midCat"/>
        <c:dispUnits/>
        <c:majorUnit val="90"/>
        <c:minorUnit val="15"/>
      </c:valAx>
      <c:valAx>
        <c:axId val="21404779"/>
        <c:scaling>
          <c:orientation val="minMax"/>
          <c:max val="1"/>
        </c:scaling>
        <c:axPos val="l"/>
        <c:title>
          <c:tx>
            <c:rich>
              <a:bodyPr vert="horz" rot="0" anchor="ctr"/>
              <a:lstStyle/>
              <a:p>
                <a:pPr algn="ctr">
                  <a:defRPr/>
                </a:pPr>
                <a:r>
                  <a:rPr lang="en-US" cap="none" sz="1000" b="1" i="0" u="none" baseline="0">
                    <a:latin typeface="Arial"/>
                    <a:ea typeface="Arial"/>
                    <a:cs typeface="Arial"/>
                  </a:rPr>
                  <a:t>F</a:t>
                </a:r>
                <a:r>
                  <a:rPr lang="en-US" cap="none" sz="1000" b="1" i="0" u="none" baseline="-25000">
                    <a:latin typeface="Arial"/>
                    <a:ea typeface="Arial"/>
                    <a:cs typeface="Arial"/>
                  </a:rPr>
                  <a:t>V</a:t>
                </a:r>
                <a:r>
                  <a:rPr lang="en-US" cap="none" sz="1000" b="1" i="0" u="none" baseline="0">
                    <a:latin typeface="Arial"/>
                    <a:ea typeface="Arial"/>
                    <a:cs typeface="Arial"/>
                  </a:rPr>
                  <a:t>/F</a:t>
                </a:r>
                <a:r>
                  <a:rPr lang="en-US" cap="none" sz="1000" b="1" i="0" u="none" baseline="-25000">
                    <a:latin typeface="Arial"/>
                    <a:ea typeface="Arial"/>
                    <a:cs typeface="Arial"/>
                  </a:rPr>
                  <a:t>max</a:t>
                </a:r>
              </a:p>
            </c:rich>
          </c:tx>
          <c:layout>
            <c:manualLayout>
              <c:xMode val="factor"/>
              <c:yMode val="factor"/>
              <c:x val="0.01975"/>
              <c:y val="0.154"/>
            </c:manualLayout>
          </c:layout>
          <c:overlay val="0"/>
          <c:spPr>
            <a:noFill/>
            <a:ln>
              <a:noFill/>
            </a:ln>
          </c:spPr>
        </c:title>
        <c:majorGridlines/>
        <c:delete val="0"/>
        <c:numFmt formatCode="0.0" sourceLinked="0"/>
        <c:majorTickMark val="out"/>
        <c:minorTickMark val="none"/>
        <c:tickLblPos val="nextTo"/>
        <c:spPr>
          <a:ln w="3175">
            <a:solidFill/>
          </a:ln>
        </c:spPr>
        <c:txPr>
          <a:bodyPr/>
          <a:lstStyle/>
          <a:p>
            <a:pPr>
              <a:defRPr lang="en-US" cap="none" sz="1000" b="0" i="0" u="none" baseline="0">
                <a:latin typeface="Arial"/>
                <a:ea typeface="Arial"/>
                <a:cs typeface="Arial"/>
              </a:defRPr>
            </a:pPr>
          </a:p>
        </c:txPr>
        <c:crossAx val="24747930"/>
        <c:crossesAt val="0"/>
        <c:crossBetween val="midCat"/>
        <c:dispUnits/>
        <c:majorUnit val="0.2"/>
        <c:minorUnit val="0.1"/>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Radialkraft über dem Wirkwinkel der Kraft zum OT nach Massenausgleich durch Gegengewicht an der Kurbelwelle</a:t>
            </a:r>
          </a:p>
        </c:rich>
      </c:tx>
      <c:layout>
        <c:manualLayout>
          <c:xMode val="factor"/>
          <c:yMode val="factor"/>
          <c:x val="0.0375"/>
          <c:y val="-0.02075"/>
        </c:manualLayout>
      </c:layout>
      <c:spPr>
        <a:noFill/>
        <a:ln>
          <a:noFill/>
        </a:ln>
      </c:spPr>
    </c:title>
    <c:plotArea>
      <c:layout>
        <c:manualLayout>
          <c:xMode val="edge"/>
          <c:yMode val="edge"/>
          <c:x val="0"/>
          <c:y val="0.12475"/>
          <c:w val="1"/>
          <c:h val="0.82475"/>
        </c:manualLayout>
      </c:layout>
      <c:scatterChart>
        <c:scatterStyle val="smooth"/>
        <c:varyColors val="0"/>
        <c:ser>
          <c:idx val="0"/>
          <c:order val="0"/>
          <c:tx>
            <c:strRef>
              <c:f>'Ausgleich Einzylinder'!$O$7</c:f>
              <c:strCache>
                <c:ptCount val="1"/>
                <c:pt idx="0">
                  <c:v>1. Ordnung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Einzylinder'!$AB$8:$AB$80</c:f>
              <c:numCache/>
            </c:numRef>
          </c:xVal>
          <c:yVal>
            <c:numRef>
              <c:f>'Ausgleich Einzylinder'!$Z$8:$Z$80</c:f>
              <c:numCache/>
            </c:numRef>
          </c:yVal>
          <c:smooth val="1"/>
        </c:ser>
        <c:axId val="58425284"/>
        <c:axId val="56065509"/>
      </c:scatterChart>
      <c:valAx>
        <c:axId val="58425284"/>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Winkel der Resultierenden zum oberen Totpunkt</a:t>
                </a:r>
              </a:p>
            </c:rich>
          </c:tx>
          <c:layout>
            <c:manualLayout>
              <c:xMode val="factor"/>
              <c:yMode val="factor"/>
              <c:x val="-0.01725"/>
              <c:y val="0.005"/>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56065509"/>
        <c:crossesAt val="0"/>
        <c:crossBetween val="midCat"/>
        <c:dispUnits/>
        <c:majorUnit val="90"/>
        <c:minorUnit val="45"/>
      </c:valAx>
      <c:valAx>
        <c:axId val="56065509"/>
        <c:scaling>
          <c:orientation val="minMax"/>
          <c:max val="1"/>
          <c:min val="-0.6"/>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1975"/>
              <c:y val="0.1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8425284"/>
        <c:crosses val="autoZero"/>
        <c:crossBetween val="midCat"/>
        <c:dispUnits/>
        <c:majorUnit val="0.2"/>
        <c:minorUnit val="0.1"/>
      </c:valAx>
      <c:spPr>
        <a:solidFill>
          <a:srgbClr val="FFFFFF"/>
        </a:solidFill>
        <a:ln w="12700">
          <a:solidFill>
            <a:srgbClr val="00000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Radialkraft nach einfachem Massenausgleich durch Gegengewicht an der Kurbelwelle</a:t>
            </a:r>
          </a:p>
        </c:rich>
      </c:tx>
      <c:layout>
        <c:manualLayout>
          <c:xMode val="factor"/>
          <c:yMode val="factor"/>
          <c:x val="0.022"/>
          <c:y val="-0.0195"/>
        </c:manualLayout>
      </c:layout>
      <c:spPr>
        <a:noFill/>
        <a:ln>
          <a:noFill/>
        </a:ln>
      </c:spPr>
    </c:title>
    <c:plotArea>
      <c:layout>
        <c:manualLayout>
          <c:xMode val="edge"/>
          <c:yMode val="edge"/>
          <c:x val="0"/>
          <c:y val="0.1145"/>
          <c:w val="1"/>
          <c:h val="0.8195"/>
        </c:manualLayout>
      </c:layout>
      <c:scatterChart>
        <c:scatterStyle val="smooth"/>
        <c:varyColors val="0"/>
        <c:ser>
          <c:idx val="0"/>
          <c:order val="0"/>
          <c:tx>
            <c:strRef>
              <c:f>'Ausgleich Einzylinder'!$O$7</c:f>
              <c:strCache>
                <c:ptCount val="1"/>
                <c:pt idx="0">
                  <c:v>1. Ordnung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Einzylinder'!$Y$8:$Y$80</c:f>
              <c:numCache/>
            </c:numRef>
          </c:xVal>
          <c:yVal>
            <c:numRef>
              <c:f>'Ausgleich Einzylinder'!$X$8:$X$80</c:f>
              <c:numCache/>
            </c:numRef>
          </c:yVal>
          <c:smooth val="1"/>
        </c:ser>
        <c:axId val="34827534"/>
        <c:axId val="45012351"/>
      </c:scatterChart>
      <c:valAx>
        <c:axId val="34827534"/>
        <c:scaling>
          <c:orientation val="minMax"/>
          <c:max val="1"/>
          <c:min val="-1"/>
        </c:scaling>
        <c:axPos val="b"/>
        <c:majorGridlines/>
        <c:delete val="0"/>
        <c:numFmt formatCode="0.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45012351"/>
        <c:crossesAt val="0"/>
        <c:crossBetween val="midCat"/>
        <c:dispUnits/>
        <c:majorUnit val="0.2"/>
        <c:minorUnit val="0.1"/>
      </c:valAx>
      <c:valAx>
        <c:axId val="45012351"/>
        <c:scaling>
          <c:orientation val="minMax"/>
          <c:max val="1"/>
          <c:min val="-1"/>
        </c:scaling>
        <c:axPos val="l"/>
        <c:majorGridlines/>
        <c:delete val="0"/>
        <c:numFmt formatCode="0.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34827534"/>
        <c:crossesAt val="0"/>
        <c:crossBetween val="midCat"/>
        <c:dispUnits/>
        <c:majorUnit val="0.2"/>
        <c:minorUnit val="0.1"/>
      </c:valAx>
      <c:spPr>
        <a:solidFill>
          <a:srgbClr val="FFFFFF"/>
        </a:solidFill>
        <a:ln w="3175">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Radialkraft über dem Kurbelwinkel nach Massenausgleich durch Gegengewicht an der Kurbelwelle</a:t>
            </a:r>
          </a:p>
        </c:rich>
      </c:tx>
      <c:layout>
        <c:manualLayout>
          <c:xMode val="factor"/>
          <c:yMode val="factor"/>
          <c:x val="0.04925"/>
          <c:y val="-0.0205"/>
        </c:manualLayout>
      </c:layout>
      <c:spPr>
        <a:noFill/>
        <a:ln>
          <a:noFill/>
        </a:ln>
      </c:spPr>
    </c:title>
    <c:plotArea>
      <c:layout>
        <c:manualLayout>
          <c:xMode val="edge"/>
          <c:yMode val="edge"/>
          <c:x val="0"/>
          <c:y val="0.11875"/>
          <c:w val="1"/>
          <c:h val="0.88125"/>
        </c:manualLayout>
      </c:layout>
      <c:scatterChart>
        <c:scatterStyle val="smooth"/>
        <c:varyColors val="0"/>
        <c:ser>
          <c:idx val="0"/>
          <c:order val="0"/>
          <c:tx>
            <c:strRef>
              <c:f>'Ausgleich Einzylinder'!$N$7</c:f>
              <c:strCache>
                <c:ptCount val="1"/>
                <c:pt idx="0">
                  <c:v>Gesamtkraft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Einzylinder'!$M$8:$M$80</c:f>
              <c:numCache/>
            </c:numRef>
          </c:xVal>
          <c:yVal>
            <c:numRef>
              <c:f>'Ausgleich Einzylinder'!$Z$8:$Z$80</c:f>
              <c:numCache/>
            </c:numRef>
          </c:yVal>
          <c:smooth val="1"/>
        </c:ser>
        <c:axId val="2457976"/>
        <c:axId val="22121785"/>
      </c:scatterChart>
      <c:valAx>
        <c:axId val="245797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35"/>
              <c:y val="0.0935"/>
            </c:manualLayout>
          </c:layout>
          <c:overlay val="0"/>
          <c:spPr>
            <a:noFill/>
            <a:ln>
              <a:noFill/>
            </a:ln>
          </c:spPr>
        </c:title>
        <c:majorGridlines/>
        <c:delete val="0"/>
        <c:numFmt formatCode="0\°" sourceLinked="0"/>
        <c:majorTickMark val="none"/>
        <c:minorTickMark val="none"/>
        <c:tickLblPos val="low"/>
        <c:spPr>
          <a:ln w="3175">
            <a:solidFill/>
          </a:ln>
        </c:spPr>
        <c:txPr>
          <a:bodyPr/>
          <a:lstStyle/>
          <a:p>
            <a:pPr>
              <a:defRPr lang="en-US" cap="none" sz="1000" b="0" i="0" u="none" baseline="0">
                <a:latin typeface="Arial"/>
                <a:ea typeface="Arial"/>
                <a:cs typeface="Arial"/>
              </a:defRPr>
            </a:pPr>
          </a:p>
        </c:txPr>
        <c:crossAx val="22121785"/>
        <c:crossesAt val="-1"/>
        <c:crossBetween val="midCat"/>
        <c:dispUnits/>
        <c:majorUnit val="90"/>
        <c:minorUnit val="15"/>
      </c:valAx>
      <c:valAx>
        <c:axId val="22121785"/>
        <c:scaling>
          <c:orientation val="minMax"/>
          <c:max val="1"/>
          <c:min val="0"/>
        </c:scaling>
        <c:axPos val="l"/>
        <c:title>
          <c:tx>
            <c:rich>
              <a:bodyPr vert="horz" rot="0" anchor="ctr"/>
              <a:lstStyle/>
              <a:p>
                <a:pPr algn="ctr">
                  <a:defRPr/>
                </a:pPr>
                <a:r>
                  <a:rPr lang="en-US" cap="none" sz="1000" b="1" i="0" u="none" baseline="0">
                    <a:latin typeface="Arial"/>
                    <a:ea typeface="Arial"/>
                    <a:cs typeface="Arial"/>
                  </a:rPr>
                  <a:t>F</a:t>
                </a:r>
                <a:r>
                  <a:rPr lang="en-US" cap="none" sz="1000" b="1" i="0" u="none" baseline="0">
                    <a:latin typeface="Arial"/>
                    <a:ea typeface="Arial"/>
                    <a:cs typeface="Arial"/>
                  </a:rPr>
                  <a:t>/F</a:t>
                </a:r>
                <a:r>
                  <a:rPr lang="en-US" cap="none" sz="1000" b="1" i="0" u="none" baseline="-25000">
                    <a:latin typeface="Arial"/>
                    <a:ea typeface="Arial"/>
                    <a:cs typeface="Arial"/>
                  </a:rPr>
                  <a:t>max</a:t>
                </a:r>
              </a:p>
            </c:rich>
          </c:tx>
          <c:layout>
            <c:manualLayout>
              <c:xMode val="factor"/>
              <c:yMode val="factor"/>
              <c:x val="0.01975"/>
              <c:y val="0.151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457976"/>
        <c:crosses val="autoZero"/>
        <c:crossBetween val="midCat"/>
        <c:dispUnits/>
        <c:majorUnit val="0.2"/>
        <c:minorUnit val="0.1"/>
      </c:valAx>
      <c:spPr>
        <a:solidFill>
          <a:srgbClr val="FFFFFF"/>
        </a:solidFill>
        <a:ln w="12700">
          <a:solidFill>
            <a:srgbClr val="00000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Horizontalkraft über dem Kurbelwinkel nach Massenausgleich durch Gegengewicht an der Kurbelwelle</a:t>
            </a:r>
          </a:p>
        </c:rich>
      </c:tx>
      <c:layout>
        <c:manualLayout>
          <c:xMode val="factor"/>
          <c:yMode val="factor"/>
          <c:x val="0.04925"/>
          <c:y val="-0.0205"/>
        </c:manualLayout>
      </c:layout>
      <c:spPr>
        <a:noFill/>
        <a:ln>
          <a:noFill/>
        </a:ln>
      </c:spPr>
    </c:title>
    <c:plotArea>
      <c:layout>
        <c:manualLayout>
          <c:xMode val="edge"/>
          <c:yMode val="edge"/>
          <c:x val="0"/>
          <c:y val="0.11825"/>
          <c:w val="1"/>
          <c:h val="0.88175"/>
        </c:manualLayout>
      </c:layout>
      <c:scatterChart>
        <c:scatterStyle val="smooth"/>
        <c:varyColors val="0"/>
        <c:ser>
          <c:idx val="0"/>
          <c:order val="0"/>
          <c:tx>
            <c:strRef>
              <c:f>'Ausgleich Einzylinder'!$N$7</c:f>
              <c:strCache>
                <c:ptCount val="1"/>
                <c:pt idx="0">
                  <c:v>Gesamtkraft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Einzylinder'!$M$8:$M$80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'Ausgleich Einzylinder'!$Y$8:$Y$80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
              <c:pt idx="0">
                <c:v>0</c:v>
              </c:pt>
              <c:pt idx="1">
                <c:v>360</c:v>
              </c:pt>
            </c:numLit>
          </c:xVal>
          <c:yVal>
            <c:numLit>
              <c:ptCount val="2"/>
              <c:pt idx="0">
                <c:v>0</c:v>
              </c:pt>
              <c:pt idx="1">
                <c:v>0</c:v>
              </c:pt>
            </c:numLit>
          </c:yVal>
          <c:smooth val="1"/>
        </c:ser>
        <c:axId val="64878338"/>
        <c:axId val="47034131"/>
      </c:scatterChart>
      <c:valAx>
        <c:axId val="64878338"/>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35"/>
              <c:y val="0.0935"/>
            </c:manualLayout>
          </c:layout>
          <c:overlay val="0"/>
          <c:spPr>
            <a:noFill/>
            <a:ln>
              <a:noFill/>
            </a:ln>
          </c:spPr>
        </c:title>
        <c:majorGridlines/>
        <c:delete val="0"/>
        <c:numFmt formatCode="0\°" sourceLinked="0"/>
        <c:majorTickMark val="none"/>
        <c:minorTickMark val="none"/>
        <c:tickLblPos val="low"/>
        <c:spPr>
          <a:ln w="3175">
            <a:solidFill/>
          </a:ln>
        </c:spPr>
        <c:txPr>
          <a:bodyPr/>
          <a:lstStyle/>
          <a:p>
            <a:pPr>
              <a:defRPr lang="en-US" cap="none" sz="1000" b="0" i="0" u="none" baseline="0">
                <a:latin typeface="Arial"/>
                <a:ea typeface="Arial"/>
                <a:cs typeface="Arial"/>
              </a:defRPr>
            </a:pPr>
          </a:p>
        </c:txPr>
        <c:crossAx val="47034131"/>
        <c:crossesAt val="-1"/>
        <c:crossBetween val="midCat"/>
        <c:dispUnits/>
        <c:majorUnit val="90"/>
        <c:minorUnit val="15"/>
      </c:valAx>
      <c:valAx>
        <c:axId val="47034131"/>
        <c:scaling>
          <c:orientation val="minMax"/>
          <c:max val="1"/>
          <c:min val="-1"/>
        </c:scaling>
        <c:axPos val="l"/>
        <c:title>
          <c:tx>
            <c:rich>
              <a:bodyPr vert="horz" rot="0" anchor="ctr"/>
              <a:lstStyle/>
              <a:p>
                <a:pPr algn="ctr">
                  <a:defRPr/>
                </a:pPr>
                <a:r>
                  <a:rPr lang="en-US" cap="none" sz="1000" b="1" i="0" u="none" baseline="0">
                    <a:latin typeface="Arial"/>
                    <a:ea typeface="Arial"/>
                    <a:cs typeface="Arial"/>
                  </a:rPr>
                  <a:t>F</a:t>
                </a:r>
                <a:r>
                  <a:rPr lang="en-US" cap="none" sz="1000" b="1" i="0" u="none" baseline="0">
                    <a:latin typeface="Arial"/>
                    <a:ea typeface="Arial"/>
                    <a:cs typeface="Arial"/>
                  </a:rPr>
                  <a:t>/F</a:t>
                </a:r>
                <a:r>
                  <a:rPr lang="en-US" cap="none" sz="1000" b="1" i="0" u="none" baseline="-25000">
                    <a:latin typeface="Arial"/>
                    <a:ea typeface="Arial"/>
                    <a:cs typeface="Arial"/>
                  </a:rPr>
                  <a:t>max</a:t>
                </a:r>
              </a:p>
            </c:rich>
          </c:tx>
          <c:layout>
            <c:manualLayout>
              <c:xMode val="factor"/>
              <c:yMode val="factor"/>
              <c:x val="0.01975"/>
              <c:y val="0.151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64878338"/>
        <c:crosses val="autoZero"/>
        <c:crossBetween val="midCat"/>
        <c:dispUnits/>
        <c:majorUnit val="0.2"/>
        <c:minorUnit val="0.1"/>
      </c:valAx>
      <c:spPr>
        <a:solidFill>
          <a:srgbClr val="FFFFFF"/>
        </a:solidFill>
        <a:ln w="12700">
          <a:solidFill>
            <a:srgbClr val="00000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Vertikalkraft über dem Kurbelwinkel nach Massenausgleich durch Gegengewicht an der Kurbelwelle</a:t>
            </a:r>
          </a:p>
        </c:rich>
      </c:tx>
      <c:layout>
        <c:manualLayout>
          <c:xMode val="factor"/>
          <c:yMode val="factor"/>
          <c:x val="0.04925"/>
          <c:y val="-0.0205"/>
        </c:manualLayout>
      </c:layout>
      <c:spPr>
        <a:noFill/>
        <a:ln>
          <a:noFill/>
        </a:ln>
      </c:spPr>
    </c:title>
    <c:plotArea>
      <c:layout>
        <c:manualLayout>
          <c:xMode val="edge"/>
          <c:yMode val="edge"/>
          <c:x val="0"/>
          <c:y val="0.11775"/>
          <c:w val="1"/>
          <c:h val="0.88225"/>
        </c:manualLayout>
      </c:layout>
      <c:scatterChart>
        <c:scatterStyle val="smooth"/>
        <c:varyColors val="0"/>
        <c:ser>
          <c:idx val="0"/>
          <c:order val="0"/>
          <c:tx>
            <c:strRef>
              <c:f>'Ausgleich Einzylinder'!$N$7</c:f>
              <c:strCache>
                <c:ptCount val="1"/>
                <c:pt idx="0">
                  <c:v>Gesamtkraft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Einzylinder'!$M$8:$M$80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'Ausgleich Einzylinder'!$X$8:$X$80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ser>
          <c:idx val="1"/>
          <c:order val="1"/>
          <c:tx>
            <c:v>Ohne Ausgleich</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Einzylinder'!$M$8:$M$80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'Ausgleich Einzylinder'!$N$8:$N$80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20653996"/>
        <c:axId val="51668237"/>
      </c:scatterChart>
      <c:valAx>
        <c:axId val="2065399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35"/>
              <c:y val="0.0935"/>
            </c:manualLayout>
          </c:layout>
          <c:overlay val="0"/>
          <c:spPr>
            <a:noFill/>
            <a:ln>
              <a:noFill/>
            </a:ln>
          </c:spPr>
        </c:title>
        <c:majorGridlines/>
        <c:delete val="0"/>
        <c:numFmt formatCode="0\°" sourceLinked="0"/>
        <c:majorTickMark val="none"/>
        <c:minorTickMark val="none"/>
        <c:tickLblPos val="low"/>
        <c:spPr>
          <a:ln w="3175">
            <a:solidFill/>
          </a:ln>
        </c:spPr>
        <c:txPr>
          <a:bodyPr/>
          <a:lstStyle/>
          <a:p>
            <a:pPr>
              <a:defRPr lang="en-US" cap="none" sz="1000" b="0" i="0" u="none" baseline="0">
                <a:latin typeface="Arial"/>
                <a:ea typeface="Arial"/>
                <a:cs typeface="Arial"/>
              </a:defRPr>
            </a:pPr>
          </a:p>
        </c:txPr>
        <c:crossAx val="51668237"/>
        <c:crossesAt val="-1"/>
        <c:crossBetween val="midCat"/>
        <c:dispUnits/>
        <c:majorUnit val="90"/>
        <c:minorUnit val="15"/>
      </c:valAx>
      <c:valAx>
        <c:axId val="51668237"/>
        <c:scaling>
          <c:orientation val="minMax"/>
          <c:max val="1"/>
          <c:min val="-1"/>
        </c:scaling>
        <c:axPos val="l"/>
        <c:title>
          <c:tx>
            <c:rich>
              <a:bodyPr vert="horz" rot="0" anchor="ctr"/>
              <a:lstStyle/>
              <a:p>
                <a:pPr algn="ctr">
                  <a:defRPr/>
                </a:pPr>
                <a:r>
                  <a:rPr lang="en-US" cap="none" sz="1000" b="1" i="0" u="none" baseline="0">
                    <a:latin typeface="Arial"/>
                    <a:ea typeface="Arial"/>
                    <a:cs typeface="Arial"/>
                  </a:rPr>
                  <a:t>F</a:t>
                </a:r>
                <a:r>
                  <a:rPr lang="en-US" cap="none" sz="1000" b="1" i="0" u="none" baseline="0">
                    <a:latin typeface="Arial"/>
                    <a:ea typeface="Arial"/>
                    <a:cs typeface="Arial"/>
                  </a:rPr>
                  <a:t>/F</a:t>
                </a:r>
                <a:r>
                  <a:rPr lang="en-US" cap="none" sz="1000" b="1" i="0" u="none" baseline="-25000">
                    <a:latin typeface="Arial"/>
                    <a:ea typeface="Arial"/>
                    <a:cs typeface="Arial"/>
                  </a:rPr>
                  <a:t>max</a:t>
                </a:r>
              </a:p>
            </c:rich>
          </c:tx>
          <c:layout>
            <c:manualLayout>
              <c:xMode val="factor"/>
              <c:yMode val="factor"/>
              <c:x val="0.01975"/>
              <c:y val="0.151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0653996"/>
        <c:crosses val="autoZero"/>
        <c:crossBetween val="midCat"/>
        <c:dispUnits/>
        <c:majorUnit val="0.2"/>
        <c:minorUnit val="0.1"/>
      </c:valAx>
      <c:spPr>
        <a:solidFill>
          <a:srgbClr val="FFFFFF"/>
        </a:solidFill>
        <a:ln w="12700">
          <a:solidFill>
            <a:srgbClr val="00000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Prozentuale Änderung der Resultierenden über dem Kurbelwinkel nach Massenausgleich durch Gegengewicht an der Kurbelwelle</a:t>
            </a:r>
          </a:p>
        </c:rich>
      </c:tx>
      <c:layout>
        <c:manualLayout>
          <c:xMode val="factor"/>
          <c:yMode val="factor"/>
          <c:x val="0.04925"/>
          <c:y val="-0.0205"/>
        </c:manualLayout>
      </c:layout>
      <c:spPr>
        <a:noFill/>
        <a:ln>
          <a:noFill/>
        </a:ln>
      </c:spPr>
    </c:title>
    <c:plotArea>
      <c:layout>
        <c:manualLayout>
          <c:xMode val="edge"/>
          <c:yMode val="edge"/>
          <c:x val="0"/>
          <c:y val="0.1175"/>
          <c:w val="1"/>
          <c:h val="0.8825"/>
        </c:manualLayout>
      </c:layout>
      <c:scatterChart>
        <c:scatterStyle val="smooth"/>
        <c:varyColors val="0"/>
        <c:ser>
          <c:idx val="0"/>
          <c:order val="0"/>
          <c:tx>
            <c:strRef>
              <c:f>'Ausgleich Einzylinder'!$N$7</c:f>
              <c:strCache>
                <c:ptCount val="1"/>
                <c:pt idx="0">
                  <c:v>Gesamtkraft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Einzylinder'!$M$8:$M$80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'Ausgleich Einzylinder'!$AD$8:$AD$80</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62360950"/>
        <c:axId val="24377639"/>
      </c:scatterChart>
      <c:valAx>
        <c:axId val="62360950"/>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35"/>
              <c:y val="0.0935"/>
            </c:manualLayout>
          </c:layout>
          <c:overlay val="0"/>
          <c:spPr>
            <a:noFill/>
            <a:ln>
              <a:noFill/>
            </a:ln>
          </c:spPr>
        </c:title>
        <c:majorGridlines/>
        <c:delete val="0"/>
        <c:numFmt formatCode="0\°" sourceLinked="0"/>
        <c:majorTickMark val="none"/>
        <c:minorTickMark val="none"/>
        <c:tickLblPos val="low"/>
        <c:spPr>
          <a:ln w="3175">
            <a:solidFill/>
          </a:ln>
        </c:spPr>
        <c:txPr>
          <a:bodyPr/>
          <a:lstStyle/>
          <a:p>
            <a:pPr>
              <a:defRPr lang="en-US" cap="none" sz="1000" b="0" i="0" u="none" baseline="0">
                <a:latin typeface="Arial"/>
                <a:ea typeface="Arial"/>
                <a:cs typeface="Arial"/>
              </a:defRPr>
            </a:pPr>
          </a:p>
        </c:txPr>
        <c:crossAx val="24377639"/>
        <c:crossesAt val="0"/>
        <c:crossBetween val="midCat"/>
        <c:dispUnits/>
        <c:majorUnit val="90"/>
        <c:minorUnit val="15"/>
      </c:valAx>
      <c:valAx>
        <c:axId val="24377639"/>
        <c:scaling>
          <c:orientation val="minMax"/>
        </c:scaling>
        <c:axPos val="l"/>
        <c:title>
          <c:tx>
            <c:rich>
              <a:bodyPr vert="horz" rot="0" anchor="ctr"/>
              <a:lstStyle/>
              <a:p>
                <a:pPr algn="ctr">
                  <a:defRPr/>
                </a:pPr>
                <a:r>
                  <a:rPr lang="en-US" cap="none" sz="1000" b="1" i="0" u="none" baseline="0">
                    <a:latin typeface="Arial"/>
                    <a:ea typeface="Arial"/>
                    <a:cs typeface="Arial"/>
                  </a:rPr>
                  <a:t>dF/%</a:t>
                </a:r>
              </a:p>
            </c:rich>
          </c:tx>
          <c:layout>
            <c:manualLayout>
              <c:xMode val="factor"/>
              <c:yMode val="factor"/>
              <c:x val="0.01975"/>
              <c:y val="0.151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62360950"/>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Resultierende Vertikalkraft über dem Kurbelwinkel
nach Ausgleich der rotierenden Massen</a:t>
            </a:r>
          </a:p>
        </c:rich>
      </c:tx>
      <c:layout>
        <c:manualLayout>
          <c:xMode val="factor"/>
          <c:yMode val="factor"/>
          <c:x val="0.04925"/>
          <c:y val="-0.0205"/>
        </c:manualLayout>
      </c:layout>
      <c:spPr>
        <a:noFill/>
        <a:ln>
          <a:noFill/>
        </a:ln>
      </c:spPr>
    </c:title>
    <c:plotArea>
      <c:layout>
        <c:manualLayout>
          <c:xMode val="edge"/>
          <c:yMode val="edge"/>
          <c:x val="0"/>
          <c:y val="0.122"/>
          <c:w val="1"/>
          <c:h val="0.878"/>
        </c:manualLayout>
      </c:layout>
      <c:scatterChart>
        <c:scatterStyle val="smooth"/>
        <c:varyColors val="0"/>
        <c:ser>
          <c:idx val="0"/>
          <c:order val="0"/>
          <c:tx>
            <c:strRef>
              <c:f>'Ausgleich Vierzylinder'!$R$3</c:f>
              <c:strCache>
                <c:ptCount val="1"/>
                <c:pt idx="0">
                  <c:v>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'Ausgleich Vierzylinder'!$C$4:$C$76</c:f>
              <c:numCache/>
            </c:numRef>
          </c:xVal>
          <c:yVal>
            <c:numRef>
              <c:f>'Ausgleich Vierzylinder'!$R$4:$R$76</c:f>
              <c:numCache/>
            </c:numRef>
          </c:yVal>
          <c:smooth val="1"/>
        </c:ser>
        <c:axId val="18072160"/>
        <c:axId val="28431713"/>
      </c:scatterChart>
      <c:valAx>
        <c:axId val="18072160"/>
        <c:scaling>
          <c:orientation val="minMax"/>
          <c:max val="360"/>
          <c:min val="0"/>
        </c:scaling>
        <c:axPos val="b"/>
        <c:title>
          <c:tx>
            <c:rich>
              <a:bodyPr vert="horz" rot="0" anchor="ctr"/>
              <a:lstStyle/>
              <a:p>
                <a:pPr algn="ctr">
                  <a:defRPr/>
                </a:pPr>
                <a:r>
                  <a:rPr lang="en-US" cap="none" sz="1200" b="1" i="1" u="none" baseline="0"/>
                  <a:t>φ</a:t>
                </a:r>
              </a:p>
            </c:rich>
          </c:tx>
          <c:layout>
            <c:manualLayout>
              <c:xMode val="factor"/>
              <c:yMode val="factor"/>
              <c:x val="0.0315"/>
              <c:y val="0.108"/>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28431713"/>
        <c:crossesAt val="0"/>
        <c:crossBetween val="midCat"/>
        <c:dispUnits/>
        <c:majorUnit val="45"/>
        <c:minorUnit val="15"/>
      </c:valAx>
      <c:valAx>
        <c:axId val="28431713"/>
        <c:scaling>
          <c:orientation val="minMax"/>
          <c:max val="20000"/>
          <c:min val="-20000"/>
        </c:scaling>
        <c:axPos val="l"/>
        <c:title>
          <c:tx>
            <c:rich>
              <a:bodyPr vert="horz" rot="0" anchor="ctr"/>
              <a:lstStyle/>
              <a:p>
                <a:pPr algn="ctr">
                  <a:defRPr/>
                </a:pPr>
                <a:r>
                  <a:rPr lang="en-US" cap="none" sz="1200" b="1" i="1" u="none" baseline="0"/>
                  <a:t>F</a:t>
                </a:r>
                <a:r>
                  <a:rPr lang="en-US" cap="none" sz="1200" b="1" i="1" u="none" baseline="-25000"/>
                  <a:t>V</a:t>
                </a:r>
                <a:r>
                  <a:rPr lang="en-US" cap="none" sz="1000" b="1" i="0" u="none" baseline="0">
                    <a:latin typeface="Arial"/>
                    <a:ea typeface="Arial"/>
                    <a:cs typeface="Arial"/>
                  </a:rPr>
                  <a:t>/</a:t>
                </a:r>
                <a:r>
                  <a:rPr lang="en-US" cap="none" sz="1000" b="0" i="0" u="none" baseline="0">
                    <a:latin typeface="Arial"/>
                    <a:ea typeface="Arial"/>
                    <a:cs typeface="Arial"/>
                  </a:rPr>
                  <a:t>N</a:t>
                </a:r>
              </a:p>
            </c:rich>
          </c:tx>
          <c:layout>
            <c:manualLayout>
              <c:xMode val="factor"/>
              <c:yMode val="factor"/>
              <c:x val="0.01975"/>
              <c:y val="0.154"/>
            </c:manualLayout>
          </c:layout>
          <c:overlay val="0"/>
          <c:spPr>
            <a:noFill/>
            <a:ln>
              <a:noFill/>
            </a:ln>
          </c:spPr>
        </c:title>
        <c:majorGridlines/>
        <c:delete val="0"/>
        <c:numFmt formatCode="0" sourceLinked="0"/>
        <c:majorTickMark val="out"/>
        <c:minorTickMark val="none"/>
        <c:tickLblPos val="nextTo"/>
        <c:spPr>
          <a:ln w="3175">
            <a:solidFill/>
          </a:ln>
        </c:spPr>
        <c:txPr>
          <a:bodyPr/>
          <a:lstStyle/>
          <a:p>
            <a:pPr>
              <a:defRPr lang="en-US" cap="none" sz="1000" b="0" i="0" u="none" baseline="0">
                <a:latin typeface="Arial"/>
                <a:ea typeface="Arial"/>
                <a:cs typeface="Arial"/>
              </a:defRPr>
            </a:pPr>
          </a:p>
        </c:txPr>
        <c:crossAx val="18072160"/>
        <c:crossesAt val="0"/>
        <c:crossBetween val="midCat"/>
        <c:dispUnits/>
        <c:majorUnit val="5000"/>
        <c:minorUnit val="1000"/>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Kolbengeschwindigkeit</a:t>
            </a:r>
          </a:p>
        </c:rich>
      </c:tx>
      <c:layout>
        <c:manualLayout>
          <c:xMode val="factor"/>
          <c:yMode val="factor"/>
          <c:x val="0.01"/>
          <c:y val="0.0145"/>
        </c:manualLayout>
      </c:layout>
      <c:spPr>
        <a:noFill/>
        <a:ln>
          <a:noFill/>
        </a:ln>
      </c:spPr>
    </c:title>
    <c:plotArea>
      <c:layout>
        <c:manualLayout>
          <c:xMode val="edge"/>
          <c:yMode val="edge"/>
          <c:x val="0.01"/>
          <c:y val="0.1455"/>
          <c:w val="0.98375"/>
          <c:h val="0.83275"/>
        </c:manualLayout>
      </c:layout>
      <c:scatterChart>
        <c:scatterStyle val="smooth"/>
        <c:varyColors val="0"/>
        <c:ser>
          <c:idx val="0"/>
          <c:order val="0"/>
          <c:tx>
            <c:v>Geschwindigkeit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Kinematik!$A$2:$A$74</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Kinematik!$C$2:$C$74</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24819670"/>
        <c:axId val="22050439"/>
      </c:scatterChart>
      <c:valAx>
        <c:axId val="24819670"/>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625"/>
              <c:y val="0.09525"/>
            </c:manualLayout>
          </c:layout>
          <c:overlay val="0"/>
          <c:spPr>
            <a:noFill/>
            <a:ln>
              <a:noFill/>
            </a:ln>
          </c:spPr>
        </c:title>
        <c:min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22050439"/>
        <c:crossesAt val="0"/>
        <c:crossBetween val="midCat"/>
        <c:dispUnits/>
        <c:majorUnit val="90"/>
        <c:minorUnit val="45"/>
      </c:valAx>
      <c:valAx>
        <c:axId val="22050439"/>
        <c:scaling>
          <c:orientation val="minMax"/>
        </c:scaling>
        <c:axPos val="l"/>
        <c:title>
          <c:tx>
            <c:rich>
              <a:bodyPr vert="horz" rot="0" anchor="ctr"/>
              <a:lstStyle/>
              <a:p>
                <a:pPr algn="l">
                  <a:defRPr/>
                </a:pPr>
                <a:r>
                  <a:rPr lang="en-US" cap="none" sz="1200" b="0" i="0" u="sng" baseline="0">
                    <a:latin typeface="Arial"/>
                    <a:ea typeface="Arial"/>
                    <a:cs typeface="Arial"/>
                  </a:rPr>
                  <a:t>  </a:t>
                </a:r>
                <a:r>
                  <a:rPr lang="en-US" cap="none" sz="1000" b="1" i="0" u="sng" baseline="0">
                    <a:latin typeface="Arial"/>
                    <a:ea typeface="Arial"/>
                    <a:cs typeface="Arial"/>
                  </a:rPr>
                  <a:t>v</a:t>
                </a:r>
                <a:r>
                  <a:rPr lang="en-US" cap="none" sz="1000" b="0" i="0" u="sng"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m/s</a:t>
                </a:r>
              </a:p>
            </c:rich>
          </c:tx>
          <c:layout>
            <c:manualLayout>
              <c:xMode val="factor"/>
              <c:yMode val="factor"/>
              <c:x val="0.01325"/>
              <c:y val="0.164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819670"/>
        <c:crosses val="autoZero"/>
        <c:crossBetween val="midCat"/>
        <c:dispUnits/>
        <c:majorUnit val="10"/>
        <c:minorUnit val="5"/>
      </c:valAx>
      <c:spPr>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Kolbenweg</a:t>
            </a:r>
          </a:p>
        </c:rich>
      </c:tx>
      <c:layout>
        <c:manualLayout>
          <c:xMode val="factor"/>
          <c:yMode val="factor"/>
          <c:x val="0"/>
          <c:y val="-0.01975"/>
        </c:manualLayout>
      </c:layout>
      <c:spPr>
        <a:noFill/>
        <a:ln>
          <a:noFill/>
        </a:ln>
      </c:spPr>
    </c:title>
    <c:plotArea>
      <c:layout>
        <c:manualLayout>
          <c:xMode val="edge"/>
          <c:yMode val="edge"/>
          <c:x val="0.01"/>
          <c:y val="0.0745"/>
          <c:w val="0.98325"/>
          <c:h val="0.9195"/>
        </c:manualLayout>
      </c:layout>
      <c:scatterChart>
        <c:scatterStyle val="smooth"/>
        <c:varyColors val="0"/>
        <c:ser>
          <c:idx val="0"/>
          <c:order val="0"/>
          <c:tx>
            <c:v>Kolbenweg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Lit>
          </c:xVal>
          <c:yVal>
            <c:numLit>
              <c:ptCount val="73"/>
              <c:pt idx="0">
                <c:v>-1.7319479184152442E-14</c:v>
              </c:pt>
              <c:pt idx="1">
                <c:v>0.18923847428738316</c:v>
              </c:pt>
              <c:pt idx="2">
                <c:v>0.7546533086921641</c:v>
              </c:pt>
              <c:pt idx="3">
                <c:v>1.6893791026930622</c:v>
              </c:pt>
              <c:pt idx="4">
                <c:v>2.9820946290579062</c:v>
              </c:pt>
              <c:pt idx="5">
                <c:v>4.617204051134239</c:v>
              </c:pt>
              <c:pt idx="6">
                <c:v>6.575089523567923</c:v>
              </c:pt>
              <c:pt idx="7">
                <c:v>8.832433575786164</c:v>
              </c:pt>
              <c:pt idx="8">
                <c:v>11.362608538099401</c:v>
              </c:pt>
              <c:pt idx="9">
                <c:v>14.136128677484265</c:v>
              </c:pt>
              <c:pt idx="10">
                <c:v>17.121158643854702</c:v>
              </c:pt>
              <c:pt idx="11">
                <c:v>20.284069332705133</c:v>
              </c:pt>
              <c:pt idx="12">
                <c:v>23.59002947384056</c:v>
              </c:pt>
              <c:pt idx="13">
                <c:v>27.003618378911124</c:v>
              </c:pt>
              <c:pt idx="14">
                <c:v>30.48944263204173</c:v>
              </c:pt>
              <c:pt idx="15">
                <c:v>34.012737461688666</c:v>
              </c:pt>
              <c:pt idx="16">
                <c:v>37.53993247784044</c:v>
              </c:pt>
              <c:pt idx="17">
                <c:v>41.039161735026134</c:v>
              </c:pt>
              <c:pt idx="18">
                <c:v>44.48069989887463</c:v>
              </c:pt>
              <c:pt idx="19">
                <c:v>47.83730966934347</c:v>
              </c:pt>
              <c:pt idx="20">
                <c:v>51.08449033586099</c:v>
              </c:pt>
              <c:pt idx="21">
                <c:v>54.200622979685285</c:v>
              </c:pt>
              <c:pt idx="22">
                <c:v>57.167013811443866</c:v>
              </c:pt>
              <c:pt idx="23">
                <c:v>59.967842794685666</c:v>
              </c:pt>
              <c:pt idx="24">
                <c:v>62.59002947384056</c:v>
              </c:pt>
              <c:pt idx="25">
                <c:v>65.02303136808672</c:v>
              </c:pt>
              <c:pt idx="26">
                <c:v>67.25859219940477</c:v>
              </c:pt>
              <c:pt idx="27">
                <c:v>69.29045761003498</c:v>
              </c:pt>
              <c:pt idx="28">
                <c:v>71.11407510137968</c:v>
              </c:pt>
              <c:pt idx="29">
                <c:v>72.72629303032753</c:v>
              </c:pt>
              <c:pt idx="30">
                <c:v>74.12507101875413</c:v>
              </c:pt>
              <c:pt idx="31">
                <c:v>75.30921143999294</c:v>
              </c:pt>
              <c:pt idx="32">
                <c:v>76.27811905035874</c:v>
              </c:pt>
              <c:pt idx="33">
                <c:v>77.03159355324037</c:v>
              </c:pt>
              <c:pt idx="34">
                <c:v>77.5696580436444</c:v>
              </c:pt>
              <c:pt idx="35">
                <c:v>77.89242492544352</c:v>
              </c:pt>
              <c:pt idx="36">
                <c:v>77.99999999999999</c:v>
              </c:pt>
              <c:pt idx="37">
                <c:v>77.89242492544352</c:v>
              </c:pt>
              <c:pt idx="38">
                <c:v>77.5696580436444</c:v>
              </c:pt>
              <c:pt idx="39">
                <c:v>77.0315935532404</c:v>
              </c:pt>
              <c:pt idx="40">
                <c:v>76.27811905035878</c:v>
              </c:pt>
              <c:pt idx="41">
                <c:v>75.30921143999294</c:v>
              </c:pt>
              <c:pt idx="42">
                <c:v>74.12507101875413</c:v>
              </c:pt>
              <c:pt idx="43">
                <c:v>72.72629303032753</c:v>
              </c:pt>
              <c:pt idx="44">
                <c:v>71.11407510137968</c:v>
              </c:pt>
              <c:pt idx="45">
                <c:v>69.29045761003498</c:v>
              </c:pt>
              <c:pt idx="46">
                <c:v>67.25859219940477</c:v>
              </c:pt>
              <c:pt idx="47">
                <c:v>65.02303136808672</c:v>
              </c:pt>
              <c:pt idx="48">
                <c:v>62.59002947384056</c:v>
              </c:pt>
              <c:pt idx="49">
                <c:v>59.967842794685666</c:v>
              </c:pt>
              <c:pt idx="50">
                <c:v>57.1670138114439</c:v>
              </c:pt>
              <c:pt idx="51">
                <c:v>54.200622979685285</c:v>
              </c:pt>
              <c:pt idx="52">
                <c:v>51.08449033586099</c:v>
              </c:pt>
              <c:pt idx="53">
                <c:v>47.83730966934347</c:v>
              </c:pt>
              <c:pt idx="54">
                <c:v>44.48069989887463</c:v>
              </c:pt>
              <c:pt idx="55">
                <c:v>41.039161735026134</c:v>
              </c:pt>
              <c:pt idx="56">
                <c:v>37.53993247784044</c:v>
              </c:pt>
              <c:pt idx="57">
                <c:v>34.012737461688715</c:v>
              </c:pt>
              <c:pt idx="58">
                <c:v>30.489442632041694</c:v>
              </c:pt>
              <c:pt idx="59">
                <c:v>27.00361837891116</c:v>
              </c:pt>
              <c:pt idx="60">
                <c:v>23.59002947384056</c:v>
              </c:pt>
              <c:pt idx="61">
                <c:v>20.284069332705133</c:v>
              </c:pt>
              <c:pt idx="62">
                <c:v>17.121158643854702</c:v>
              </c:pt>
              <c:pt idx="63">
                <c:v>14.136128677484265</c:v>
              </c:pt>
              <c:pt idx="64">
                <c:v>11.362608538099401</c:v>
              </c:pt>
              <c:pt idx="65">
                <c:v>8.83243357578618</c:v>
              </c:pt>
              <c:pt idx="66">
                <c:v>6.575089523567941</c:v>
              </c:pt>
              <c:pt idx="67">
                <c:v>4.617204051134239</c:v>
              </c:pt>
              <c:pt idx="68">
                <c:v>2.9820946290579236</c:v>
              </c:pt>
              <c:pt idx="69">
                <c:v>1.6893791026930622</c:v>
              </c:pt>
              <c:pt idx="70">
                <c:v>0.7546533086921641</c:v>
              </c:pt>
              <c:pt idx="71">
                <c:v>0.18923847428738316</c:v>
              </c:pt>
              <c:pt idx="72">
                <c:v>-1.7319479184152442E-14</c:v>
              </c:pt>
            </c:numLit>
          </c:yVal>
          <c:smooth val="1"/>
        </c:ser>
        <c:axId val="54558826"/>
        <c:axId val="21267387"/>
      </c:scatterChart>
      <c:valAx>
        <c:axId val="54558826"/>
        <c:scaling>
          <c:orientation val="minMax"/>
          <c:max val="360"/>
          <c:min val="0"/>
        </c:scaling>
        <c:axPos val="b"/>
        <c:title>
          <c:tx>
            <c:rich>
              <a:bodyPr vert="horz" rot="0" anchor="ctr"/>
              <a:lstStyle/>
              <a:p>
                <a:pPr algn="ctr">
                  <a:defRPr/>
                </a:pPr>
                <a:r>
                  <a:rPr lang="en-US" cap="none" sz="1200" b="1" i="0" u="none" baseline="0">
                    <a:latin typeface="Arial"/>
                    <a:ea typeface="Arial"/>
                    <a:cs typeface="Arial"/>
                  </a:rPr>
                  <a:t>φ</a:t>
                </a:r>
                <a:r>
                  <a:rPr lang="en-US" cap="none" sz="1200" b="0" i="0" u="none" baseline="0">
                    <a:latin typeface="Arial"/>
                    <a:ea typeface="Arial"/>
                    <a:cs typeface="Arial"/>
                  </a:rPr>
                  <a:t>/°</a:t>
                </a:r>
              </a:p>
            </c:rich>
          </c:tx>
          <c:layout>
            <c:manualLayout>
              <c:xMode val="factor"/>
              <c:yMode val="factor"/>
              <c:x val="0.0235"/>
              <c:y val="0.107"/>
            </c:manualLayout>
          </c:layout>
          <c:overlay val="0"/>
          <c:spPr>
            <a:noFill/>
            <a:ln>
              <a:noFill/>
            </a:ln>
          </c:spPr>
        </c:title>
        <c:min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67387"/>
        <c:crossesAt val="-10"/>
        <c:crossBetween val="midCat"/>
        <c:dispUnits/>
        <c:majorUnit val="90"/>
        <c:minorUnit val="45"/>
      </c:valAx>
      <c:valAx>
        <c:axId val="21267387"/>
        <c:scaling>
          <c:orientation val="minMax"/>
        </c:scaling>
        <c:axPos val="l"/>
        <c:title>
          <c:tx>
            <c:rich>
              <a:bodyPr vert="horz" rot="0" anchor="ctr"/>
              <a:lstStyle/>
              <a:p>
                <a:pPr algn="ctr">
                  <a:defRPr/>
                </a:pPr>
                <a:r>
                  <a:rPr lang="en-US" cap="none" sz="1200" b="1" i="0" u="none" baseline="0">
                    <a:latin typeface="Arial"/>
                    <a:ea typeface="Arial"/>
                    <a:cs typeface="Arial"/>
                  </a:rPr>
                  <a:t>s</a:t>
                </a:r>
                <a:r>
                  <a:rPr lang="en-US" cap="none" sz="1200" b="0" i="0" u="none" baseline="0">
                    <a:latin typeface="Arial"/>
                    <a:ea typeface="Arial"/>
                    <a:cs typeface="Arial"/>
                  </a:rPr>
                  <a:t>/mm</a:t>
                </a:r>
              </a:p>
            </c:rich>
          </c:tx>
          <c:layout>
            <c:manualLayout>
              <c:xMode val="factor"/>
              <c:yMode val="factor"/>
              <c:x val="-0.00675"/>
              <c:y val="0.146"/>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558826"/>
        <c:crosses val="autoZero"/>
        <c:crossBetween val="midCat"/>
        <c:dispUnits/>
        <c:minorUnit val="5"/>
      </c:valAx>
      <c:spPr>
        <a:ln w="1270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Kolbengeschwindigkeit</a:t>
            </a:r>
          </a:p>
        </c:rich>
      </c:tx>
      <c:layout>
        <c:manualLayout>
          <c:xMode val="factor"/>
          <c:yMode val="factor"/>
          <c:x val="0"/>
          <c:y val="-0.01975"/>
        </c:manualLayout>
      </c:layout>
      <c:spPr>
        <a:noFill/>
        <a:ln>
          <a:noFill/>
        </a:ln>
      </c:spPr>
    </c:title>
    <c:plotArea>
      <c:layout>
        <c:manualLayout>
          <c:xMode val="edge"/>
          <c:yMode val="edge"/>
          <c:x val="0.0115"/>
          <c:y val="0.07475"/>
          <c:w val="0.982"/>
          <c:h val="0.90325"/>
        </c:manualLayout>
      </c:layout>
      <c:scatterChart>
        <c:scatterStyle val="smooth"/>
        <c:varyColors val="0"/>
        <c:ser>
          <c:idx val="0"/>
          <c:order val="0"/>
          <c:tx>
            <c:v>Geschwindigkeit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Lit>
          </c:xVal>
          <c:yVal>
            <c:numLit>
              <c:ptCount val="73"/>
              <c:pt idx="0">
                <c:v>0</c:v>
              </c:pt>
              <c:pt idx="1">
                <c:v>3.856307902951367</c:v>
              </c:pt>
              <c:pt idx="2">
                <c:v>7.6643479918279676</c:v>
              </c:pt>
              <c:pt idx="3">
                <c:v>11.376794643472746</c:v>
              </c:pt>
              <c:pt idx="4">
                <c:v>14.948181979587092</c:v>
              </c:pt>
              <c:pt idx="5">
                <c:v>18.335772864925687</c:v>
              </c:pt>
              <c:pt idx="6">
                <c:v>21.50035684580129</c:v>
              </c:pt>
              <c:pt idx="7">
                <c:v>24.40695659386894</c:v>
              </c:pt>
              <c:pt idx="8">
                <c:v>27.025425080984448</c:v>
              </c:pt>
              <c:pt idx="9">
                <c:v>29.33091888372964</c:v>
              </c:pt>
              <c:pt idx="10">
                <c:v>31.304236605682252</c:v>
              </c:pt>
              <c:pt idx="11">
                <c:v>32.93201530394455</c:v>
              </c:pt>
              <c:pt idx="12">
                <c:v>34.20678189689985</c:v>
              </c:pt>
              <c:pt idx="13">
                <c:v>35.12686069005911</c:v>
              </c:pt>
              <c:pt idx="14">
                <c:v>35.69614226167009</c:v>
              </c:pt>
              <c:pt idx="15">
                <c:v>35.92372287679772</c:v>
              </c:pt>
              <c:pt idx="16">
                <c:v>35.823427230698805</c:v>
              </c:pt>
              <c:pt idx="17">
                <c:v>35.41323055144334</c:v>
              </c:pt>
              <c:pt idx="18">
                <c:v>34.71459882216722</c:v>
              </c:pt>
              <c:pt idx="19">
                <c:v>33.751768034606535</c:v>
              </c:pt>
              <c:pt idx="20">
                <c:v>32.55098489485868</c:v>
              </c:pt>
              <c:pt idx="21">
                <c:v>31.13973222639305</c:v>
              </c:pt>
              <c:pt idx="22">
                <c:v>29.545962431797353</c:v>
              </c:pt>
              <c:pt idx="23">
                <c:v>27.797361782707828</c:v>
              </c:pt>
              <c:pt idx="24">
                <c:v>25.920667027464482</c:v>
              </c:pt>
              <c:pt idx="25">
                <c:v>23.941053879756463</c:v>
              </c:pt>
              <c:pt idx="26">
                <c:v>21.88161443996938</c:v>
              </c:pt>
              <c:pt idx="27">
                <c:v>19.76293758292031</c:v>
              </c:pt>
              <c:pt idx="28">
                <c:v>17.60280291527159</c:v>
              </c:pt>
              <c:pt idx="29">
                <c:v>15.415995169680842</c:v>
              </c:pt>
              <c:pt idx="30">
                <c:v>13.214241976365924</c:v>
              </c:pt>
              <c:pt idx="31">
                <c:v>11.006273957574402</c:v>
              </c:pt>
              <c:pt idx="32">
                <c:v>8.798002149714357</c:v>
              </c:pt>
              <c:pt idx="33">
                <c:v>6.592803993068084</c:v>
              </c:pt>
              <c:pt idx="34">
                <c:v>4.391905655987848</c:v>
              </c:pt>
              <c:pt idx="35">
                <c:v>2.1948453861145603</c:v>
              </c:pt>
              <c:pt idx="36">
                <c:v>3.0808339602469636E-15</c:v>
              </c:pt>
              <c:pt idx="37">
                <c:v>-2.194845386114554</c:v>
              </c:pt>
              <c:pt idx="38">
                <c:v>-4.391905655987843</c:v>
              </c:pt>
              <c:pt idx="39">
                <c:v>-6.592803993068066</c:v>
              </c:pt>
              <c:pt idx="40">
                <c:v>-8.79800214971435</c:v>
              </c:pt>
              <c:pt idx="41">
                <c:v>-11.006273957574393</c:v>
              </c:pt>
              <c:pt idx="42">
                <c:v>-13.21424197636593</c:v>
              </c:pt>
              <c:pt idx="43">
                <c:v>-15.41599516968084</c:v>
              </c:pt>
              <c:pt idx="44">
                <c:v>-17.602802915271585</c:v>
              </c:pt>
              <c:pt idx="45">
                <c:v>-19.762937582920305</c:v>
              </c:pt>
              <c:pt idx="46">
                <c:v>-21.881614439969375</c:v>
              </c:pt>
              <c:pt idx="47">
                <c:v>-23.94105387975645</c:v>
              </c:pt>
              <c:pt idx="48">
                <c:v>-25.920667027464468</c:v>
              </c:pt>
              <c:pt idx="49">
                <c:v>-27.797361782707828</c:v>
              </c:pt>
              <c:pt idx="50">
                <c:v>-29.54596243179734</c:v>
              </c:pt>
              <c:pt idx="51">
                <c:v>-31.139732226393054</c:v>
              </c:pt>
              <c:pt idx="52">
                <c:v>-32.55098489485868</c:v>
              </c:pt>
              <c:pt idx="53">
                <c:v>-33.751768034606535</c:v>
              </c:pt>
              <c:pt idx="54">
                <c:v>-34.71459882216722</c:v>
              </c:pt>
              <c:pt idx="55">
                <c:v>-35.413230551443334</c:v>
              </c:pt>
              <c:pt idx="56">
                <c:v>-35.823427230698805</c:v>
              </c:pt>
              <c:pt idx="57">
                <c:v>-35.92372287679772</c:v>
              </c:pt>
              <c:pt idx="58">
                <c:v>-35.6961422616701</c:v>
              </c:pt>
              <c:pt idx="59">
                <c:v>-35.12686069005911</c:v>
              </c:pt>
              <c:pt idx="60">
                <c:v>-34.20678189689985</c:v>
              </c:pt>
              <c:pt idx="61">
                <c:v>-32.93201530394455</c:v>
              </c:pt>
              <c:pt idx="62">
                <c:v>-31.304236605682252</c:v>
              </c:pt>
              <c:pt idx="63">
                <c:v>-29.33091888372965</c:v>
              </c:pt>
              <c:pt idx="64">
                <c:v>-27.025425080984466</c:v>
              </c:pt>
              <c:pt idx="65">
                <c:v>-24.406956593868955</c:v>
              </c:pt>
              <c:pt idx="66">
                <c:v>-21.500356845801313</c:v>
              </c:pt>
              <c:pt idx="67">
                <c:v>-18.335772864925673</c:v>
              </c:pt>
              <c:pt idx="68">
                <c:v>-14.948181979587122</c:v>
              </c:pt>
              <c:pt idx="69">
                <c:v>-11.376794643472744</c:v>
              </c:pt>
              <c:pt idx="70">
                <c:v>-7.664347991827971</c:v>
              </c:pt>
              <c:pt idx="71">
                <c:v>-3.856307902951374</c:v>
              </c:pt>
              <c:pt idx="72">
                <c:v>-1.085054692340638E-14</c:v>
              </c:pt>
            </c:numLit>
          </c:yVal>
          <c:smooth val="1"/>
        </c:ser>
        <c:axId val="57188756"/>
        <c:axId val="44936757"/>
      </c:scatterChart>
      <c:valAx>
        <c:axId val="57188756"/>
        <c:scaling>
          <c:orientation val="minMax"/>
          <c:max val="360"/>
          <c:min val="0"/>
        </c:scaling>
        <c:axPos val="b"/>
        <c:title>
          <c:tx>
            <c:rich>
              <a:bodyPr vert="horz" rot="0" anchor="ctr"/>
              <a:lstStyle/>
              <a:p>
                <a:pPr algn="ctr">
                  <a:defRPr/>
                </a:pPr>
                <a:r>
                  <a:rPr lang="en-US" cap="none" sz="1200" b="1" i="0" u="none" baseline="0">
                    <a:latin typeface="Arial"/>
                    <a:ea typeface="Arial"/>
                    <a:cs typeface="Arial"/>
                  </a:rPr>
                  <a:t>φ</a:t>
                </a:r>
                <a:r>
                  <a:rPr lang="en-US" cap="none" sz="1200" b="0" i="0" u="none" baseline="0">
                    <a:latin typeface="Arial"/>
                    <a:ea typeface="Arial"/>
                    <a:cs typeface="Arial"/>
                  </a:rPr>
                  <a:t>/°</a:t>
                </a:r>
              </a:p>
            </c:rich>
          </c:tx>
          <c:layout>
            <c:manualLayout>
              <c:xMode val="factor"/>
              <c:yMode val="factor"/>
              <c:x val="0.0235"/>
              <c:y val="0.107"/>
            </c:manualLayout>
          </c:layout>
          <c:overlay val="0"/>
          <c:spPr>
            <a:noFill/>
            <a:ln>
              <a:noFill/>
            </a:ln>
          </c:spPr>
        </c:title>
        <c:minorGridlines/>
        <c:delete val="0"/>
        <c:numFmt formatCode="General" sourceLinked="1"/>
        <c:majorTickMark val="out"/>
        <c:minorTickMark val="none"/>
        <c:tickLblPos val="low"/>
        <c:spPr>
          <a:ln w="25400">
            <a:solidFill/>
          </a:ln>
        </c:spPr>
        <c:txPr>
          <a:bodyPr/>
          <a:lstStyle/>
          <a:p>
            <a:pPr>
              <a:defRPr lang="en-US" cap="none" sz="1000" b="0" i="0" u="none" baseline="0">
                <a:latin typeface="Arial"/>
                <a:ea typeface="Arial"/>
                <a:cs typeface="Arial"/>
              </a:defRPr>
            </a:pPr>
          </a:p>
        </c:txPr>
        <c:crossAx val="44936757"/>
        <c:crossesAt val="0"/>
        <c:crossBetween val="midCat"/>
        <c:dispUnits/>
        <c:majorUnit val="90"/>
        <c:minorUnit val="45"/>
      </c:valAx>
      <c:valAx>
        <c:axId val="44936757"/>
        <c:scaling>
          <c:orientation val="minMax"/>
        </c:scaling>
        <c:axPos val="l"/>
        <c:title>
          <c:tx>
            <c:rich>
              <a:bodyPr vert="horz" rot="0" anchor="ctr"/>
              <a:lstStyle/>
              <a:p>
                <a:pPr algn="ctr">
                  <a:defRPr/>
                </a:pPr>
                <a:r>
                  <a:rPr lang="en-US" cap="none" sz="1200" b="1" i="0" u="none" baseline="0">
                    <a:latin typeface="Arial"/>
                    <a:ea typeface="Arial"/>
                    <a:cs typeface="Arial"/>
                  </a:rPr>
                  <a:t>v</a:t>
                </a:r>
                <a:r>
                  <a:rPr lang="en-US" cap="none" sz="1200" b="0" i="0" u="none" baseline="0">
                    <a:latin typeface="Arial"/>
                    <a:ea typeface="Arial"/>
                    <a:cs typeface="Arial"/>
                  </a:rPr>
                  <a:t>/m/s</a:t>
                </a:r>
              </a:p>
            </c:rich>
          </c:tx>
          <c:layout>
            <c:manualLayout>
              <c:xMode val="factor"/>
              <c:yMode val="factor"/>
              <c:x val="-0.00675"/>
              <c:y val="0.146"/>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188756"/>
        <c:crosses val="autoZero"/>
        <c:crossBetween val="midCat"/>
        <c:dispUnits/>
        <c:minorUnit val="5"/>
      </c:valAx>
      <c:spPr>
        <a:ln w="1270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Kolbenbeschleunigung</a:t>
            </a:r>
          </a:p>
        </c:rich>
      </c:tx>
      <c:layout>
        <c:manualLayout>
          <c:xMode val="factor"/>
          <c:yMode val="factor"/>
          <c:x val="0"/>
          <c:y val="-0.01975"/>
        </c:manualLayout>
      </c:layout>
      <c:spPr>
        <a:noFill/>
        <a:ln>
          <a:noFill/>
        </a:ln>
      </c:spPr>
    </c:title>
    <c:plotArea>
      <c:layout>
        <c:manualLayout>
          <c:xMode val="edge"/>
          <c:yMode val="edge"/>
          <c:x val="0.0125"/>
          <c:y val="0.098"/>
          <c:w val="0.979"/>
          <c:h val="0.902"/>
        </c:manualLayout>
      </c:layout>
      <c:scatterChart>
        <c:scatterStyle val="smooth"/>
        <c:varyColors val="1"/>
        <c:ser>
          <c:idx val="0"/>
          <c:order val="0"/>
          <c:tx>
            <c:v>Beschleunigung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7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numLit>
          </c:xVal>
          <c:yVal>
            <c:numLit>
              <c:ptCount val="73"/>
              <c:pt idx="0">
                <c:v>39.416718045630944</c:v>
              </c:pt>
              <c:pt idx="1">
                <c:v>39.169747116944215</c:v>
              </c:pt>
              <c:pt idx="2">
                <c:v>38.43366056888198</c:v>
              </c:pt>
              <c:pt idx="3">
                <c:v>37.22281085268431</c:v>
              </c:pt>
              <c:pt idx="4">
                <c:v>35.56070152589718</c:v>
              </c:pt>
              <c:pt idx="5">
                <c:v>33.479374234555586</c:v>
              </c:pt>
              <c:pt idx="6">
                <c:v>31.018575641092955</c:v>
              </c:pt>
              <c:pt idx="7">
                <c:v>28.224728541182984</c:v>
              </c:pt>
              <c:pt idx="8">
                <c:v>25.149737070839166</c:v>
              </c:pt>
              <c:pt idx="9">
                <c:v>21.849660665036055</c:v>
              </c:pt>
              <c:pt idx="10">
                <c:v>18.383295148386203</c:v>
              </c:pt>
              <c:pt idx="11">
                <c:v>14.81070190604379</c:v>
              </c:pt>
              <c:pt idx="12">
                <c:v>11.191727422928457</c:v>
              </c:pt>
              <c:pt idx="13">
                <c:v>7.584555552665422</c:v>
              </c:pt>
              <c:pt idx="14">
                <c:v>4.044333683763953</c:v>
              </c:pt>
              <c:pt idx="15">
                <c:v>0.6219115472973212</c:v>
              </c:pt>
              <c:pt idx="16">
                <c:v>-2.6372721673118664</c:v>
              </c:pt>
              <c:pt idx="17">
                <c:v>-5.694124843971839</c:v>
              </c:pt>
              <c:pt idx="18">
                <c:v>-8.516631599887019</c:v>
              </c:pt>
              <c:pt idx="19">
                <c:v>-11.080364814263161</c:v>
              </c:pt>
              <c:pt idx="20">
                <c:v>-13.368759569419964</c:v>
              </c:pt>
              <c:pt idx="21">
                <c:v>-15.373150187648257</c:v>
              </c:pt>
              <c:pt idx="22">
                <c:v>-17.092570306133837</c:v>
              </c:pt>
              <c:pt idx="23">
                <c:v>-18.53332609000987</c:v>
              </c:pt>
              <c:pt idx="24">
                <c:v>-19.70835902281547</c:v>
              </c:pt>
              <c:pt idx="25">
                <c:v>-20.63642102693434</c:v>
              </c:pt>
              <c:pt idx="26">
                <c:v>-21.341090262748146</c:v>
              </c:pt>
              <c:pt idx="27">
                <c:v>-21.84966066503605</c:v>
              </c:pt>
              <c:pt idx="28">
                <c:v>-22.191941956477216</c:v>
              </c:pt>
              <c:pt idx="29">
                <c:v>-22.399009420292426</c:v>
              </c:pt>
              <c:pt idx="30">
                <c:v>-22.501944041205938</c:v>
              </c:pt>
              <c:pt idx="31">
                <c:v>-22.530603697211134</c:v>
              </c:pt>
              <c:pt idx="32">
                <c:v>-22.51246490352729</c:v>
              </c:pt>
              <c:pt idx="33">
                <c:v>-22.471572212333378</c:v>
              </c:pt>
              <c:pt idx="34">
                <c:v>-22.42762883215015</c:v>
              </c:pt>
              <c:pt idx="35">
                <c:v>-22.39525745870921</c:v>
              </c:pt>
              <c:pt idx="36">
                <c:v>-22.38345484585691</c:v>
              </c:pt>
              <c:pt idx="37">
                <c:v>-22.395257458709207</c:v>
              </c:pt>
              <c:pt idx="38">
                <c:v>-22.42762883215015</c:v>
              </c:pt>
              <c:pt idx="39">
                <c:v>-22.471572212333378</c:v>
              </c:pt>
              <c:pt idx="40">
                <c:v>-22.512464903527295</c:v>
              </c:pt>
              <c:pt idx="41">
                <c:v>-22.530603697211134</c:v>
              </c:pt>
              <c:pt idx="42">
                <c:v>-22.501944041205938</c:v>
              </c:pt>
              <c:pt idx="43">
                <c:v>-22.399009420292426</c:v>
              </c:pt>
              <c:pt idx="44">
                <c:v>-22.191941956477212</c:v>
              </c:pt>
              <c:pt idx="45">
                <c:v>-21.849660665036055</c:v>
              </c:pt>
              <c:pt idx="46">
                <c:v>-21.341090262748146</c:v>
              </c:pt>
              <c:pt idx="47">
                <c:v>-20.636421026934343</c:v>
              </c:pt>
              <c:pt idx="48">
                <c:v>-19.70835902281548</c:v>
              </c:pt>
              <c:pt idx="49">
                <c:v>-18.533326090009865</c:v>
              </c:pt>
              <c:pt idx="50">
                <c:v>-17.092570306133847</c:v>
              </c:pt>
              <c:pt idx="51">
                <c:v>-15.373150187648251</c:v>
              </c:pt>
              <c:pt idx="52">
                <c:v>-13.368759569419964</c:v>
              </c:pt>
              <c:pt idx="53">
                <c:v>-11.080364814263161</c:v>
              </c:pt>
              <c:pt idx="54">
                <c:v>-8.516631599887026</c:v>
              </c:pt>
              <c:pt idx="55">
                <c:v>-5.694124843971855</c:v>
              </c:pt>
              <c:pt idx="56">
                <c:v>-2.6372721673118837</c:v>
              </c:pt>
              <c:pt idx="57">
                <c:v>0.6219115472973032</c:v>
              </c:pt>
              <c:pt idx="58">
                <c:v>4.04433368376396</c:v>
              </c:pt>
              <c:pt idx="59">
                <c:v>7.584555552665394</c:v>
              </c:pt>
              <c:pt idx="60">
                <c:v>11.191727422928457</c:v>
              </c:pt>
              <c:pt idx="61">
                <c:v>14.810701906043786</c:v>
              </c:pt>
              <c:pt idx="62">
                <c:v>18.383295148386193</c:v>
              </c:pt>
              <c:pt idx="63">
                <c:v>21.849660665036044</c:v>
              </c:pt>
              <c:pt idx="64">
                <c:v>25.14973707083915</c:v>
              </c:pt>
              <c:pt idx="65">
                <c:v>28.22472854118297</c:v>
              </c:pt>
              <c:pt idx="66">
                <c:v>31.018575641092934</c:v>
              </c:pt>
              <c:pt idx="67">
                <c:v>33.47937423455559</c:v>
              </c:pt>
              <c:pt idx="68">
                <c:v>35.560701525897166</c:v>
              </c:pt>
              <c:pt idx="69">
                <c:v>37.22281085268431</c:v>
              </c:pt>
              <c:pt idx="70">
                <c:v>38.433660568881976</c:v>
              </c:pt>
              <c:pt idx="71">
                <c:v>39.169747116944215</c:v>
              </c:pt>
              <c:pt idx="72">
                <c:v>39.416718045630944</c:v>
              </c:pt>
            </c:numLit>
          </c:yVal>
          <c:smooth val="1"/>
        </c:ser>
        <c:axId val="1777630"/>
        <c:axId val="15998671"/>
      </c:scatterChart>
      <c:valAx>
        <c:axId val="1777630"/>
        <c:scaling>
          <c:orientation val="minMax"/>
          <c:max val="360"/>
          <c:min val="0"/>
        </c:scaling>
        <c:axPos val="b"/>
        <c:title>
          <c:tx>
            <c:rich>
              <a:bodyPr vert="horz" rot="0" anchor="ctr"/>
              <a:lstStyle/>
              <a:p>
                <a:pPr algn="ctr">
                  <a:defRPr/>
                </a:pPr>
                <a:r>
                  <a:rPr lang="en-US" cap="none" sz="1200" b="1" i="0" u="none" baseline="0">
                    <a:latin typeface="Arial"/>
                    <a:ea typeface="Arial"/>
                    <a:cs typeface="Arial"/>
                  </a:rPr>
                  <a:t>φ</a:t>
                </a:r>
                <a:r>
                  <a:rPr lang="en-US" cap="none" sz="1200" b="0" i="0" u="none" baseline="0">
                    <a:latin typeface="Arial"/>
                    <a:ea typeface="Arial"/>
                    <a:cs typeface="Arial"/>
                  </a:rPr>
                  <a:t>/°</a:t>
                </a:r>
              </a:p>
            </c:rich>
          </c:tx>
          <c:layout>
            <c:manualLayout>
              <c:xMode val="factor"/>
              <c:yMode val="factor"/>
              <c:x val="0.0235"/>
              <c:y val="0.107"/>
            </c:manualLayout>
          </c:layout>
          <c:overlay val="0"/>
          <c:spPr>
            <a:noFill/>
            <a:ln>
              <a:noFill/>
            </a:ln>
          </c:spPr>
        </c:title>
        <c:minorGridlines/>
        <c:delete val="0"/>
        <c:numFmt formatCode="General" sourceLinked="1"/>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15998671"/>
        <c:crossesAt val="0"/>
        <c:crossBetween val="midCat"/>
        <c:dispUnits/>
        <c:majorUnit val="90"/>
        <c:minorUnit val="45"/>
      </c:valAx>
      <c:valAx>
        <c:axId val="15998671"/>
        <c:scaling>
          <c:orientation val="minMax"/>
        </c:scaling>
        <c:axPos val="l"/>
        <c:title>
          <c:tx>
            <c:rich>
              <a:bodyPr vert="horz" rot="0" anchor="ctr"/>
              <a:lstStyle/>
              <a:p>
                <a:pPr algn="ctr">
                  <a:defRPr/>
                </a:pPr>
                <a:r>
                  <a:rPr lang="en-US" cap="none" sz="1200" b="1" i="0" u="none" baseline="0">
                    <a:latin typeface="Arial"/>
                    <a:ea typeface="Arial"/>
                    <a:cs typeface="Arial"/>
                  </a:rPr>
                  <a:t>a</a:t>
                </a:r>
                <a:r>
                  <a:rPr lang="en-US" cap="none" sz="1200" b="0" i="0" u="none" baseline="0">
                    <a:latin typeface="Arial"/>
                    <a:ea typeface="Arial"/>
                    <a:cs typeface="Arial"/>
                  </a:rPr>
                  <a:t>/1000m/s</a:t>
                </a:r>
                <a:r>
                  <a:rPr lang="en-US" cap="none" sz="1200" b="0" i="0" u="none" baseline="30000">
                    <a:latin typeface="Arial"/>
                    <a:ea typeface="Arial"/>
                    <a:cs typeface="Arial"/>
                  </a:rPr>
                  <a:t>2</a:t>
                </a:r>
              </a:p>
            </c:rich>
          </c:tx>
          <c:layout>
            <c:manualLayout>
              <c:xMode val="factor"/>
              <c:yMode val="factor"/>
              <c:x val="0.04675"/>
              <c:y val="0.16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77630"/>
        <c:crosses val="autoZero"/>
        <c:crossBetween val="midCat"/>
        <c:dispUnits/>
        <c:minorUnit val="5"/>
      </c:valAx>
      <c:spPr>
        <a:ln w="1270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Kolbenweg</a:t>
            </a:r>
          </a:p>
        </c:rich>
      </c:tx>
      <c:layout>
        <c:manualLayout>
          <c:xMode val="factor"/>
          <c:yMode val="factor"/>
          <c:x val="0"/>
          <c:y val="0"/>
        </c:manualLayout>
      </c:layout>
      <c:spPr>
        <a:noFill/>
        <a:ln>
          <a:noFill/>
        </a:ln>
      </c:spPr>
    </c:title>
    <c:plotArea>
      <c:layout>
        <c:manualLayout>
          <c:xMode val="edge"/>
          <c:yMode val="edge"/>
          <c:x val="0.00875"/>
          <c:y val="0.1315"/>
          <c:w val="0.98575"/>
          <c:h val="0.86125"/>
        </c:manualLayout>
      </c:layout>
      <c:scatterChart>
        <c:scatterStyle val="smooth"/>
        <c:varyColors val="0"/>
        <c:ser>
          <c:idx val="0"/>
          <c:order val="0"/>
          <c:tx>
            <c:v>Kolbenweg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'Geschränkter Kurbeltrieb'!$A$2:$A$74</c:f>
              <c:numCache/>
            </c:numRef>
          </c:xVal>
          <c:yVal>
            <c:numRef>
              <c:f>'Geschränkter Kurbeltrieb'!$B$2:$B$74</c:f>
              <c:numCache/>
            </c:numRef>
          </c:yVal>
          <c:smooth val="1"/>
        </c:ser>
        <c:axId val="9770312"/>
        <c:axId val="20823945"/>
      </c:scatterChart>
      <c:valAx>
        <c:axId val="9770312"/>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425"/>
              <c:y val="0.095"/>
            </c:manualLayout>
          </c:layout>
          <c:overlay val="0"/>
          <c:spPr>
            <a:noFill/>
            <a:ln>
              <a:noFill/>
            </a:ln>
          </c:spPr>
        </c:title>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823945"/>
        <c:crosses val="autoZero"/>
        <c:crossBetween val="midCat"/>
        <c:dispUnits/>
        <c:majorUnit val="90"/>
        <c:minorUnit val="45"/>
      </c:valAx>
      <c:valAx>
        <c:axId val="20823945"/>
        <c:scaling>
          <c:orientation val="minMax"/>
        </c:scaling>
        <c:axPos val="l"/>
        <c:title>
          <c:tx>
            <c:rich>
              <a:bodyPr vert="horz" rot="0" anchor="ctr"/>
              <a:lstStyle/>
              <a:p>
                <a:pPr algn="l">
                  <a:defRPr/>
                </a:pPr>
                <a:r>
                  <a:rPr lang="en-US" cap="none" sz="1000" b="0" i="0" u="sng" baseline="0">
                    <a:latin typeface="Arial"/>
                    <a:ea typeface="Arial"/>
                    <a:cs typeface="Arial"/>
                  </a:rPr>
                  <a:t>  </a:t>
                </a:r>
                <a:r>
                  <a:rPr lang="en-US" cap="none" sz="1000" b="1" i="0" u="sng" baseline="0">
                    <a:latin typeface="Arial"/>
                    <a:ea typeface="Arial"/>
                    <a:cs typeface="Arial"/>
                  </a:rPr>
                  <a:t>s</a:t>
                </a:r>
                <a:r>
                  <a:rPr lang="en-US" cap="none" sz="1000" b="0" i="0" u="sng"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mm</a:t>
                </a:r>
              </a:p>
            </c:rich>
          </c:tx>
          <c:layout>
            <c:manualLayout>
              <c:xMode val="factor"/>
              <c:yMode val="factor"/>
              <c:x val="0.01125"/>
              <c:y val="0.175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770312"/>
        <c:crosses val="autoZero"/>
        <c:crossBetween val="midCat"/>
        <c:dispUnits/>
        <c:majorUnit val="10"/>
        <c:minorUnit val="5"/>
      </c:valAx>
      <c:spPr>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Kolbengeschwindigkeit</a:t>
            </a:r>
          </a:p>
        </c:rich>
      </c:tx>
      <c:layout>
        <c:manualLayout>
          <c:xMode val="factor"/>
          <c:yMode val="factor"/>
          <c:x val="0.01"/>
          <c:y val="0.0145"/>
        </c:manualLayout>
      </c:layout>
      <c:spPr>
        <a:noFill/>
        <a:ln>
          <a:noFill/>
        </a:ln>
      </c:spPr>
    </c:title>
    <c:plotArea>
      <c:layout>
        <c:manualLayout>
          <c:xMode val="edge"/>
          <c:yMode val="edge"/>
          <c:x val="0.00875"/>
          <c:y val="0.1455"/>
          <c:w val="0.98575"/>
          <c:h val="0.83275"/>
        </c:manualLayout>
      </c:layout>
      <c:scatterChart>
        <c:scatterStyle val="smooth"/>
        <c:varyColors val="0"/>
        <c:ser>
          <c:idx val="0"/>
          <c:order val="0"/>
          <c:tx>
            <c:v>Geschwindigkeit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'Geschränkter Kurbeltrieb'!$A$2:$A$74</c:f>
              <c:numCache/>
            </c:numRef>
          </c:xVal>
          <c:yVal>
            <c:numRef>
              <c:f>'Geschränkter Kurbeltrieb'!$C$2:$C$74</c:f>
              <c:numCache/>
            </c:numRef>
          </c:yVal>
          <c:smooth val="1"/>
        </c:ser>
        <c:axId val="53197778"/>
        <c:axId val="9017955"/>
      </c:scatterChart>
      <c:valAx>
        <c:axId val="53197778"/>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625"/>
              <c:y val="0.09525"/>
            </c:manualLayout>
          </c:layout>
          <c:overlay val="0"/>
          <c:spPr>
            <a:noFill/>
            <a:ln>
              <a:noFill/>
            </a:ln>
          </c:spPr>
        </c:title>
        <c:min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9017955"/>
        <c:crossesAt val="0"/>
        <c:crossBetween val="midCat"/>
        <c:dispUnits/>
        <c:majorUnit val="90"/>
        <c:minorUnit val="45"/>
      </c:valAx>
      <c:valAx>
        <c:axId val="9017955"/>
        <c:scaling>
          <c:orientation val="minMax"/>
        </c:scaling>
        <c:axPos val="l"/>
        <c:title>
          <c:tx>
            <c:rich>
              <a:bodyPr vert="horz" rot="0" anchor="ctr"/>
              <a:lstStyle/>
              <a:p>
                <a:pPr algn="l">
                  <a:defRPr/>
                </a:pPr>
                <a:r>
                  <a:rPr lang="en-US" cap="none" sz="1200" b="0" i="0" u="sng" baseline="0">
                    <a:latin typeface="Arial"/>
                    <a:ea typeface="Arial"/>
                    <a:cs typeface="Arial"/>
                  </a:rPr>
                  <a:t>  </a:t>
                </a:r>
                <a:r>
                  <a:rPr lang="en-US" cap="none" sz="1000" b="1" i="0" u="sng" baseline="0">
                    <a:latin typeface="Arial"/>
                    <a:ea typeface="Arial"/>
                    <a:cs typeface="Arial"/>
                  </a:rPr>
                  <a:t>v</a:t>
                </a:r>
                <a:r>
                  <a:rPr lang="en-US" cap="none" sz="1000" b="0" i="0" u="sng"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m/s</a:t>
                </a:r>
              </a:p>
            </c:rich>
          </c:tx>
          <c:layout>
            <c:manualLayout>
              <c:xMode val="factor"/>
              <c:yMode val="factor"/>
              <c:x val="0.01325"/>
              <c:y val="0.164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3197778"/>
        <c:crosses val="autoZero"/>
        <c:crossBetween val="midCat"/>
        <c:dispUnits/>
        <c:majorUnit val="10"/>
        <c:minorUnit val="5"/>
      </c:valAx>
      <c:spPr>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Kolbenbeschleunigung</a:t>
            </a:r>
          </a:p>
        </c:rich>
      </c:tx>
      <c:layout>
        <c:manualLayout>
          <c:xMode val="factor"/>
          <c:yMode val="factor"/>
          <c:x val="0"/>
          <c:y val="0"/>
        </c:manualLayout>
      </c:layout>
      <c:spPr>
        <a:noFill/>
        <a:ln>
          <a:noFill/>
        </a:ln>
      </c:spPr>
    </c:title>
    <c:plotArea>
      <c:layout>
        <c:manualLayout>
          <c:xMode val="edge"/>
          <c:yMode val="edge"/>
          <c:x val="0.01025"/>
          <c:y val="0.145"/>
          <c:w val="0.98275"/>
          <c:h val="0.855"/>
        </c:manualLayout>
      </c:layout>
      <c:scatterChart>
        <c:scatterStyle val="smooth"/>
        <c:varyColors val="1"/>
        <c:ser>
          <c:idx val="0"/>
          <c:order val="0"/>
          <c:tx>
            <c:v>Beschleunigung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'Geschränkter Kurbeltrieb'!$A$2:$A$74</c:f>
              <c:numCache/>
            </c:numRef>
          </c:xVal>
          <c:yVal>
            <c:numRef>
              <c:f>'Geschränkter Kurbeltrieb'!$E$2:$E$74</c:f>
              <c:numCache/>
            </c:numRef>
          </c:yVal>
          <c:smooth val="1"/>
        </c:ser>
        <c:axId val="14052732"/>
        <c:axId val="59365725"/>
      </c:scatterChart>
      <c:valAx>
        <c:axId val="14052732"/>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425"/>
              <c:y val="0.09525"/>
            </c:manualLayout>
          </c:layout>
          <c:overlay val="0"/>
          <c:spPr>
            <a:noFill/>
            <a:ln>
              <a:noFill/>
            </a:ln>
          </c:spPr>
        </c:title>
        <c:min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59365725"/>
        <c:crossesAt val="0"/>
        <c:crossBetween val="midCat"/>
        <c:dispUnits/>
        <c:majorUnit val="90"/>
        <c:minorUnit val="45"/>
      </c:valAx>
      <c:valAx>
        <c:axId val="59365725"/>
        <c:scaling>
          <c:orientation val="minMax"/>
        </c:scaling>
        <c:axPos val="l"/>
        <c:title>
          <c:tx>
            <c:rich>
              <a:bodyPr vert="horz" rot="0" anchor="ctr"/>
              <a:lstStyle/>
              <a:p>
                <a:pPr algn="l">
                  <a:defRPr/>
                </a:pPr>
                <a:r>
                  <a:rPr lang="en-US" cap="none" sz="1000" b="1" i="0" u="sng" baseline="0">
                    <a:latin typeface="Arial"/>
                    <a:ea typeface="Arial"/>
                    <a:cs typeface="Arial"/>
                  </a:rPr>
                  <a:t>      a      </a:t>
                </a:r>
                <a:r>
                  <a:rPr lang="en-US" cap="none" sz="1000" b="0" i="0" u="none" baseline="0">
                    <a:latin typeface="Arial"/>
                    <a:ea typeface="Arial"/>
                    <a:cs typeface="Arial"/>
                  </a:rPr>
                  <a:t>
1000 m/s</a:t>
                </a:r>
                <a:r>
                  <a:rPr lang="en-US" cap="none" sz="1000" b="0" i="0" u="none" baseline="30000">
                    <a:latin typeface="Arial"/>
                    <a:ea typeface="Arial"/>
                    <a:cs typeface="Arial"/>
                  </a:rPr>
                  <a:t>2</a:t>
                </a:r>
              </a:p>
            </c:rich>
          </c:tx>
          <c:layout>
            <c:manualLayout>
              <c:xMode val="factor"/>
              <c:yMode val="factor"/>
              <c:x val="0.02925"/>
              <c:y val="0.163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052732"/>
        <c:crosses val="autoZero"/>
        <c:crossBetween val="midCat"/>
        <c:dispUnits/>
        <c:majorUnit val="10"/>
        <c:minorUnit val="5"/>
      </c:valAx>
      <c:spPr>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Kolbenbeschleunigung</a:t>
            </a:r>
          </a:p>
        </c:rich>
      </c:tx>
      <c:layout>
        <c:manualLayout>
          <c:xMode val="factor"/>
          <c:yMode val="factor"/>
          <c:x val="0"/>
          <c:y val="0"/>
        </c:manualLayout>
      </c:layout>
      <c:spPr>
        <a:noFill/>
        <a:ln>
          <a:noFill/>
        </a:ln>
      </c:spPr>
    </c:title>
    <c:plotArea>
      <c:layout>
        <c:manualLayout>
          <c:xMode val="edge"/>
          <c:yMode val="edge"/>
          <c:x val="0.012"/>
          <c:y val="0.145"/>
          <c:w val="0.97975"/>
          <c:h val="0.855"/>
        </c:manualLayout>
      </c:layout>
      <c:scatterChart>
        <c:scatterStyle val="smooth"/>
        <c:varyColors val="1"/>
        <c:ser>
          <c:idx val="0"/>
          <c:order val="0"/>
          <c:tx>
            <c:v>Beschleunigung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Kinematik!$A$2:$A$74</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xVal>
          <c:yVal>
            <c:numRef>
              <c:f>Kinematik!$E$2:$E$74</c:f>
              <c:numCache>
                <c:ptCount val="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yVal>
          <c:smooth val="1"/>
        </c:ser>
        <c:axId val="64236224"/>
        <c:axId val="41255105"/>
      </c:scatterChart>
      <c:valAx>
        <c:axId val="64236224"/>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425"/>
              <c:y val="0.09525"/>
            </c:manualLayout>
          </c:layout>
          <c:overlay val="0"/>
          <c:spPr>
            <a:noFill/>
            <a:ln>
              <a:noFill/>
            </a:ln>
          </c:spPr>
        </c:title>
        <c:min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41255105"/>
        <c:crossesAt val="0"/>
        <c:crossBetween val="midCat"/>
        <c:dispUnits/>
        <c:majorUnit val="90"/>
        <c:minorUnit val="45"/>
      </c:valAx>
      <c:valAx>
        <c:axId val="41255105"/>
        <c:scaling>
          <c:orientation val="minMax"/>
        </c:scaling>
        <c:axPos val="l"/>
        <c:title>
          <c:tx>
            <c:rich>
              <a:bodyPr vert="horz" rot="0" anchor="ctr"/>
              <a:lstStyle/>
              <a:p>
                <a:pPr algn="l">
                  <a:defRPr/>
                </a:pPr>
                <a:r>
                  <a:rPr lang="en-US" cap="none" sz="1000" b="1" i="0" u="sng" baseline="0">
                    <a:latin typeface="Arial"/>
                    <a:ea typeface="Arial"/>
                    <a:cs typeface="Arial"/>
                  </a:rPr>
                  <a:t>      a      </a:t>
                </a:r>
                <a:r>
                  <a:rPr lang="en-US" cap="none" sz="1000" b="0" i="0" u="none" baseline="0">
                    <a:latin typeface="Arial"/>
                    <a:ea typeface="Arial"/>
                    <a:cs typeface="Arial"/>
                  </a:rPr>
                  <a:t>
1000 m/s</a:t>
                </a:r>
                <a:r>
                  <a:rPr lang="en-US" cap="none" sz="1000" b="0" i="0" u="none" baseline="30000">
                    <a:latin typeface="Arial"/>
                    <a:ea typeface="Arial"/>
                    <a:cs typeface="Arial"/>
                  </a:rPr>
                  <a:t>2</a:t>
                </a:r>
              </a:p>
            </c:rich>
          </c:tx>
          <c:layout>
            <c:manualLayout>
              <c:xMode val="factor"/>
              <c:yMode val="factor"/>
              <c:x val="0.02925"/>
              <c:y val="0.163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236224"/>
        <c:crosses val="autoZero"/>
        <c:crossBetween val="midCat"/>
        <c:dispUnits/>
        <c:majorUnit val="10"/>
        <c:minorUnit val="5"/>
      </c:valAx>
      <c:spPr>
        <a:ln w="127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2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45"/>
          <c:y val="0.08925"/>
          <c:w val="0.9555"/>
          <c:h val="0.91075"/>
        </c:manualLayout>
      </c:layout>
      <c:scatterChart>
        <c:scatterStyle val="smooth"/>
        <c:varyColors val="0"/>
        <c:ser>
          <c:idx val="0"/>
          <c:order val="0"/>
          <c:tx>
            <c:strRef>
              <c:f>Massenkräfte!$J$4</c:f>
              <c:strCache>
                <c:ptCount val="1"/>
                <c:pt idx="0">
                  <c:v>Gesamtkraft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Massenkräfte!$J$5:$J$77</c:f>
              <c:numCache/>
            </c:numRef>
          </c:yVal>
          <c:smooth val="1"/>
        </c:ser>
        <c:axId val="35751626"/>
        <c:axId val="53329179"/>
      </c:scatterChart>
      <c:valAx>
        <c:axId val="3575162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2875"/>
              <c:y val="0.09725"/>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53329179"/>
        <c:crossesAt val="0"/>
        <c:crossBetween val="midCat"/>
        <c:dispUnits/>
        <c:majorUnit val="90"/>
        <c:minorUnit val="15"/>
      </c:valAx>
      <c:valAx>
        <c:axId val="53329179"/>
        <c:scaling>
          <c:orientation val="minMax"/>
          <c:max val="1"/>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
              <c:y val="0.1795"/>
            </c:manualLayout>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35751626"/>
        <c:crosses val="autoZero"/>
        <c:crossBetween val="midCat"/>
        <c:dispUnits/>
        <c:majorUnit val="0.5"/>
        <c:minorUnit val="0.1"/>
      </c:valAx>
      <c:spPr>
        <a:solidFill>
          <a:srgbClr val="FFFFFF"/>
        </a:solidFill>
        <a:ln w="12700">
          <a:solidFill>
            <a:srgbClr val="00000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5"/>
          <c:y val="-0.020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95"/>
          <c:y val="0.12225"/>
          <c:w val="0.9505"/>
          <c:h val="0.87775"/>
        </c:manualLayout>
      </c:layout>
      <c:scatterChart>
        <c:scatterStyle val="smooth"/>
        <c:varyColors val="0"/>
        <c:ser>
          <c:idx val="0"/>
          <c:order val="0"/>
          <c:tx>
            <c:strRef>
              <c:f>Massenkräfte!$K$4</c:f>
              <c:strCache>
                <c:ptCount val="1"/>
                <c:pt idx="0">
                  <c:v>1. Ordnung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Massenkräfte!$K$5:$K$77</c:f>
              <c:numCache/>
            </c:numRef>
          </c:yVal>
          <c:smooth val="1"/>
        </c:ser>
        <c:axId val="10200564"/>
        <c:axId val="24696213"/>
      </c:scatterChart>
      <c:valAx>
        <c:axId val="10200564"/>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3825"/>
              <c:y val="0.09725"/>
            </c:manualLayout>
          </c:layout>
          <c:overlay val="0"/>
          <c:spPr>
            <a:noFill/>
            <a:ln>
              <a:noFill/>
            </a:ln>
          </c:spPr>
        </c:title>
        <c:majorGridlines/>
        <c:delete val="0"/>
        <c:numFmt formatCode="0\°" sourceLinked="0"/>
        <c:majorTickMark val="none"/>
        <c:minorTickMark val="none"/>
        <c:tickLblPos val="low"/>
        <c:spPr>
          <a:ln w="25400">
            <a:solidFill/>
          </a:ln>
        </c:spPr>
        <c:crossAx val="24696213"/>
        <c:crossesAt val="0"/>
        <c:crossBetween val="midCat"/>
        <c:dispUnits/>
        <c:majorUnit val="90"/>
        <c:minorUnit val="15"/>
      </c:valAx>
      <c:valAx>
        <c:axId val="24696213"/>
        <c:scaling>
          <c:orientation val="minMax"/>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
              <c:y val="0.16875"/>
            </c:manualLayout>
          </c:layout>
          <c:overlay val="0"/>
          <c:spPr>
            <a:noFill/>
            <a:ln>
              <a:noFill/>
            </a:ln>
          </c:spPr>
        </c:title>
        <c:majorGridlines/>
        <c:delete val="0"/>
        <c:numFmt formatCode="0.0" sourceLinked="0"/>
        <c:majorTickMark val="out"/>
        <c:minorTickMark val="none"/>
        <c:tickLblPos val="nextTo"/>
        <c:crossAx val="10200564"/>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25"/>
          <c:y val="-0.01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15"/>
          <c:y val="0.136"/>
          <c:w val="0.9485"/>
          <c:h val="0.864"/>
        </c:manualLayout>
      </c:layout>
      <c:scatterChart>
        <c:scatterStyle val="smooth"/>
        <c:varyColors val="0"/>
        <c:ser>
          <c:idx val="0"/>
          <c:order val="0"/>
          <c:tx>
            <c:strRef>
              <c:f>Massenkräfte!$L$4</c:f>
              <c:strCache>
                <c:ptCount val="1"/>
                <c:pt idx="0">
                  <c:v>2.Ordnung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Massenkräfte!$L$5:$L$77</c:f>
              <c:numCache/>
            </c:numRef>
          </c:yVal>
          <c:smooth val="1"/>
        </c:ser>
        <c:axId val="20939326"/>
        <c:axId val="54236207"/>
      </c:scatterChart>
      <c:valAx>
        <c:axId val="2093932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0525"/>
              <c:y val="0.09675"/>
            </c:manualLayout>
          </c:layout>
          <c:overlay val="0"/>
          <c:spPr>
            <a:noFill/>
            <a:ln>
              <a:noFill/>
            </a:ln>
          </c:spPr>
        </c:title>
        <c:majorGridlines/>
        <c:delete val="0"/>
        <c:numFmt formatCode="0\°" sourceLinked="0"/>
        <c:majorTickMark val="none"/>
        <c:minorTickMark val="none"/>
        <c:tickLblPos val="low"/>
        <c:spPr>
          <a:ln w="25400">
            <a:solidFill/>
          </a:ln>
        </c:spPr>
        <c:crossAx val="54236207"/>
        <c:crossesAt val="0"/>
        <c:crossBetween val="midCat"/>
        <c:dispUnits/>
        <c:majorUnit val="90"/>
        <c:minorUnit val="15"/>
      </c:valAx>
      <c:valAx>
        <c:axId val="54236207"/>
        <c:scaling>
          <c:orientation val="minMax"/>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025"/>
              <c:y val="0.1755"/>
            </c:manualLayout>
          </c:layout>
          <c:overlay val="0"/>
          <c:spPr>
            <a:noFill/>
            <a:ln>
              <a:noFill/>
            </a:ln>
          </c:spPr>
        </c:title>
        <c:majorGridlines/>
        <c:delete val="0"/>
        <c:numFmt formatCode="0.0" sourceLinked="0"/>
        <c:majorTickMark val="out"/>
        <c:minorTickMark val="none"/>
        <c:tickLblPos val="nextTo"/>
        <c:crossAx val="20939326"/>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532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5"/>
          <c:y val="0.114"/>
          <c:w val="0.9755"/>
          <c:h val="0.886"/>
        </c:manualLayout>
      </c:layout>
      <c:scatterChart>
        <c:scatterStyle val="smooth"/>
        <c:varyColors val="0"/>
        <c:ser>
          <c:idx val="0"/>
          <c:order val="0"/>
          <c:tx>
            <c:v>4.Ordnung</c:v>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Massenkräfte!$M$5:$M$77</c:f>
              <c:numCache/>
            </c:numRef>
          </c:yVal>
          <c:smooth val="1"/>
        </c:ser>
        <c:axId val="18363816"/>
        <c:axId val="31056617"/>
      </c:scatterChart>
      <c:valAx>
        <c:axId val="1836381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3375"/>
              <c:y val="0.09625"/>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31056617"/>
        <c:crossesAt val="0"/>
        <c:crossBetween val="midCat"/>
        <c:dispUnits/>
        <c:majorUnit val="90"/>
        <c:minorUnit val="15"/>
      </c:valAx>
      <c:valAx>
        <c:axId val="31056617"/>
        <c:scaling>
          <c:orientation val="minMax"/>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225"/>
              <c:y val="0.174"/>
            </c:manualLayout>
          </c:layout>
          <c:overlay val="0"/>
          <c:spPr>
            <a:noFill/>
            <a:ln>
              <a:noFill/>
            </a:ln>
          </c:spPr>
        </c:title>
        <c:majorGridlines/>
        <c:delete val="0"/>
        <c:numFmt formatCode="0.000" sourceLinked="0"/>
        <c:majorTickMark val="out"/>
        <c:minorTickMark val="none"/>
        <c:tickLblPos val="nextTo"/>
        <c:txPr>
          <a:bodyPr/>
          <a:lstStyle/>
          <a:p>
            <a:pPr>
              <a:defRPr lang="en-US" cap="none" sz="1000" b="0" i="0" u="none" baseline="0">
                <a:latin typeface="Arial"/>
                <a:ea typeface="Arial"/>
                <a:cs typeface="Arial"/>
              </a:defRPr>
            </a:pPr>
          </a:p>
        </c:txPr>
        <c:crossAx val="18363816"/>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82"/>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15"/>
          <c:y val="0.13125"/>
          <c:w val="0.9985"/>
          <c:h val="0.86875"/>
        </c:manualLayout>
      </c:layout>
      <c:scatterChart>
        <c:scatterStyle val="smooth"/>
        <c:varyColors val="0"/>
        <c:ser>
          <c:idx val="0"/>
          <c:order val="0"/>
          <c:tx>
            <c:strRef>
              <c:f>Massenkräfte!$N$4</c:f>
              <c:strCache>
                <c:ptCount val="1"/>
                <c:pt idx="0">
                  <c:v>6.Ordnung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Massenkräfte!$N$5:$N$77</c:f>
              <c:numCache/>
            </c:numRef>
          </c:yVal>
          <c:smooth val="1"/>
        </c:ser>
        <c:axId val="11074098"/>
        <c:axId val="32558019"/>
      </c:scatterChart>
      <c:valAx>
        <c:axId val="11074098"/>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035"/>
              <c:y val="0.09675"/>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32558019"/>
        <c:crossesAt val="0"/>
        <c:crossBetween val="midCat"/>
        <c:dispUnits/>
        <c:majorUnit val="90"/>
        <c:minorUnit val="15"/>
      </c:valAx>
      <c:valAx>
        <c:axId val="32558019"/>
        <c:scaling>
          <c:orientation val="minMax"/>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7"/>
              <c:y val="0.17075"/>
            </c:manualLayout>
          </c:layout>
          <c:overlay val="0"/>
          <c:spPr>
            <a:noFill/>
            <a:ln>
              <a:noFill/>
            </a:ln>
          </c:spPr>
        </c:title>
        <c:majorGridlines/>
        <c:delete val="0"/>
        <c:numFmt formatCode="0.00000" sourceLinked="0"/>
        <c:majorTickMark val="out"/>
        <c:minorTickMark val="none"/>
        <c:tickLblPos val="nextTo"/>
        <c:txPr>
          <a:bodyPr/>
          <a:lstStyle/>
          <a:p>
            <a:pPr>
              <a:defRPr lang="en-US" cap="none" sz="1000" b="0" i="0" u="none" baseline="0">
                <a:latin typeface="Arial"/>
                <a:ea typeface="Arial"/>
                <a:cs typeface="Arial"/>
              </a:defRPr>
            </a:pPr>
          </a:p>
        </c:txPr>
        <c:crossAx val="11074098"/>
        <c:crosses val="autoZero"/>
        <c:crossBetween val="midCat"/>
        <c:dispUnits/>
      </c:valAx>
      <c:spPr>
        <a:solidFill>
          <a:srgbClr val="FFFFFF"/>
        </a:solidFill>
        <a:ln w="1270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Ausgleich 1.Ordnung</a:t>
            </a:r>
          </a:p>
        </c:rich>
      </c:tx>
      <c:layout>
        <c:manualLayout>
          <c:xMode val="factor"/>
          <c:yMode val="factor"/>
          <c:x val="0"/>
          <c:y val="0"/>
        </c:manualLayout>
      </c:layout>
      <c:spPr>
        <a:noFill/>
        <a:ln>
          <a:noFill/>
        </a:ln>
      </c:spPr>
    </c:title>
    <c:plotArea>
      <c:layout>
        <c:manualLayout>
          <c:xMode val="edge"/>
          <c:yMode val="edge"/>
          <c:x val="0.03175"/>
          <c:y val="0.13925"/>
          <c:w val="0.96825"/>
          <c:h val="0.86075"/>
        </c:manualLayout>
      </c:layout>
      <c:scatterChart>
        <c:scatterStyle val="smooth"/>
        <c:varyColors val="0"/>
        <c:ser>
          <c:idx val="0"/>
          <c:order val="0"/>
          <c:tx>
            <c:strRef>
              <c:f>Massenkräfte!$P$4</c:f>
              <c:strCache>
                <c:ptCount val="1"/>
                <c:pt idx="0">
                  <c:v>Ausgleich
1. Ordnung</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Massenkräfte!$I$5:$I$77</c:f>
              <c:numCache/>
            </c:numRef>
          </c:xVal>
          <c:yVal>
            <c:numRef>
              <c:f>Massenkräfte!$P$5:$P$77</c:f>
              <c:numCache/>
            </c:numRef>
          </c:yVal>
          <c:smooth val="1"/>
        </c:ser>
        <c:axId val="24586716"/>
        <c:axId val="19953853"/>
      </c:scatterChart>
      <c:valAx>
        <c:axId val="24586716"/>
        <c:scaling>
          <c:orientation val="minMax"/>
          <c:max val="360"/>
          <c:min val="0"/>
        </c:scaling>
        <c:axPos val="b"/>
        <c:title>
          <c:tx>
            <c:rich>
              <a:bodyPr vert="horz" rot="0" anchor="ctr"/>
              <a:lstStyle/>
              <a:p>
                <a:pPr algn="ctr">
                  <a:defRPr/>
                </a:pPr>
                <a:r>
                  <a:rPr lang="en-US" cap="none" sz="1000" b="1" i="0" u="none" baseline="0">
                    <a:latin typeface="Arial"/>
                    <a:ea typeface="Arial"/>
                    <a:cs typeface="Arial"/>
                  </a:rPr>
                  <a:t>φ</a:t>
                </a:r>
              </a:p>
            </c:rich>
          </c:tx>
          <c:layout>
            <c:manualLayout>
              <c:xMode val="factor"/>
              <c:yMode val="factor"/>
              <c:x val="0.03475"/>
              <c:y val="0.096"/>
            </c:manualLayout>
          </c:layout>
          <c:overlay val="0"/>
          <c:spPr>
            <a:noFill/>
            <a:ln>
              <a:noFill/>
            </a:ln>
          </c:spPr>
        </c:title>
        <c:majorGridlines/>
        <c:delete val="0"/>
        <c:numFmt formatCode="0\°" sourceLinked="0"/>
        <c:majorTickMark val="none"/>
        <c:minorTickMark val="none"/>
        <c:tickLblPos val="low"/>
        <c:spPr>
          <a:ln w="25400">
            <a:solidFill/>
          </a:ln>
        </c:spPr>
        <c:txPr>
          <a:bodyPr/>
          <a:lstStyle/>
          <a:p>
            <a:pPr>
              <a:defRPr lang="en-US" cap="none" sz="1000" b="0" i="0" u="none" baseline="0">
                <a:latin typeface="Arial"/>
                <a:ea typeface="Arial"/>
                <a:cs typeface="Arial"/>
              </a:defRPr>
            </a:pPr>
          </a:p>
        </c:txPr>
        <c:crossAx val="19953853"/>
        <c:crossesAt val="0"/>
        <c:crossBetween val="midCat"/>
        <c:dispUnits/>
        <c:majorUnit val="90"/>
        <c:minorUnit val="15"/>
      </c:valAx>
      <c:valAx>
        <c:axId val="19953853"/>
        <c:scaling>
          <c:orientation val="minMax"/>
        </c:scaling>
        <c:axPos val="l"/>
        <c:title>
          <c:tx>
            <c:rich>
              <a:bodyPr vert="horz" rot="0" anchor="ctr"/>
              <a:lstStyle/>
              <a:p>
                <a:pPr algn="ctr">
                  <a:defRPr/>
                </a:pPr>
                <a:r>
                  <a:rPr lang="en-US" cap="none" sz="1000" b="1" i="0" u="none" baseline="0">
                    <a:latin typeface="Arial"/>
                    <a:ea typeface="Arial"/>
                    <a:cs typeface="Arial"/>
                  </a:rPr>
                  <a:t>F/F</a:t>
                </a:r>
                <a:r>
                  <a:rPr lang="en-US" cap="none" sz="1000" b="1" i="0" u="none" baseline="-25000">
                    <a:latin typeface="Arial"/>
                    <a:ea typeface="Arial"/>
                    <a:cs typeface="Arial"/>
                  </a:rPr>
                  <a:t>max</a:t>
                </a:r>
              </a:p>
            </c:rich>
          </c:tx>
          <c:layout>
            <c:manualLayout>
              <c:xMode val="factor"/>
              <c:yMode val="factor"/>
              <c:x val="0.0205"/>
              <c:y val="0.17225"/>
            </c:manualLayout>
          </c:layout>
          <c:overlay val="0"/>
          <c:spPr>
            <a:noFill/>
            <a:ln>
              <a:noFill/>
            </a:ln>
          </c:spPr>
        </c:title>
        <c:majorGridlines/>
        <c:delete val="0"/>
        <c:numFmt formatCode="0.00" sourceLinked="0"/>
        <c:majorTickMark val="out"/>
        <c:minorTickMark val="none"/>
        <c:tickLblPos val="nextTo"/>
        <c:txPr>
          <a:bodyPr/>
          <a:lstStyle/>
          <a:p>
            <a:pPr>
              <a:defRPr lang="en-US" cap="none" sz="1000" b="0" i="0" u="none" baseline="0">
                <a:latin typeface="Arial"/>
                <a:ea typeface="Arial"/>
                <a:cs typeface="Arial"/>
              </a:defRPr>
            </a:pPr>
          </a:p>
        </c:txPr>
        <c:crossAx val="24586716"/>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142875</xdr:rowOff>
    </xdr:from>
    <xdr:to>
      <xdr:col>13</xdr:col>
      <xdr:colOff>0</xdr:colOff>
      <xdr:row>19</xdr:row>
      <xdr:rowOff>85725</xdr:rowOff>
    </xdr:to>
    <xdr:graphicFrame>
      <xdr:nvGraphicFramePr>
        <xdr:cNvPr id="1" name="Chart 1"/>
        <xdr:cNvGraphicFramePr/>
      </xdr:nvGraphicFramePr>
      <xdr:xfrm>
        <a:off x="3771900" y="685800"/>
        <a:ext cx="4810125" cy="26955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19</xdr:row>
      <xdr:rowOff>85725</xdr:rowOff>
    </xdr:from>
    <xdr:to>
      <xdr:col>13</xdr:col>
      <xdr:colOff>0</xdr:colOff>
      <xdr:row>36</xdr:row>
      <xdr:rowOff>38100</xdr:rowOff>
    </xdr:to>
    <xdr:graphicFrame>
      <xdr:nvGraphicFramePr>
        <xdr:cNvPr id="2" name="Chart 2"/>
        <xdr:cNvGraphicFramePr/>
      </xdr:nvGraphicFramePr>
      <xdr:xfrm>
        <a:off x="3771900" y="3381375"/>
        <a:ext cx="4810125" cy="27051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13</xdr:col>
      <xdr:colOff>0</xdr:colOff>
      <xdr:row>53</xdr:row>
      <xdr:rowOff>0</xdr:rowOff>
    </xdr:to>
    <xdr:graphicFrame>
      <xdr:nvGraphicFramePr>
        <xdr:cNvPr id="3" name="Chart 3"/>
        <xdr:cNvGraphicFramePr/>
      </xdr:nvGraphicFramePr>
      <xdr:xfrm>
        <a:off x="3771900" y="6086475"/>
        <a:ext cx="4810125" cy="27146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12</xdr:row>
      <xdr:rowOff>9525</xdr:rowOff>
    </xdr:to>
    <xdr:graphicFrame>
      <xdr:nvGraphicFramePr>
        <xdr:cNvPr id="1" name="Chart 1"/>
        <xdr:cNvGraphicFramePr/>
      </xdr:nvGraphicFramePr>
      <xdr:xfrm>
        <a:off x="0" y="0"/>
        <a:ext cx="5467350" cy="2276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xdr:row>
      <xdr:rowOff>9525</xdr:rowOff>
    </xdr:from>
    <xdr:to>
      <xdr:col>7</xdr:col>
      <xdr:colOff>0</xdr:colOff>
      <xdr:row>24</xdr:row>
      <xdr:rowOff>19050</xdr:rowOff>
    </xdr:to>
    <xdr:graphicFrame>
      <xdr:nvGraphicFramePr>
        <xdr:cNvPr id="2" name="Chart 5"/>
        <xdr:cNvGraphicFramePr/>
      </xdr:nvGraphicFramePr>
      <xdr:xfrm>
        <a:off x="0" y="2276475"/>
        <a:ext cx="5467350" cy="1952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19050</xdr:rowOff>
    </xdr:from>
    <xdr:to>
      <xdr:col>7</xdr:col>
      <xdr:colOff>0</xdr:colOff>
      <xdr:row>36</xdr:row>
      <xdr:rowOff>19050</xdr:rowOff>
    </xdr:to>
    <xdr:graphicFrame>
      <xdr:nvGraphicFramePr>
        <xdr:cNvPr id="3" name="Chart 6"/>
        <xdr:cNvGraphicFramePr/>
      </xdr:nvGraphicFramePr>
      <xdr:xfrm>
        <a:off x="0" y="4229100"/>
        <a:ext cx="5467350" cy="1943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9525</xdr:rowOff>
    </xdr:from>
    <xdr:to>
      <xdr:col>7</xdr:col>
      <xdr:colOff>0</xdr:colOff>
      <xdr:row>48</xdr:row>
      <xdr:rowOff>66675</xdr:rowOff>
    </xdr:to>
    <xdr:graphicFrame>
      <xdr:nvGraphicFramePr>
        <xdr:cNvPr id="4" name="Chart 7"/>
        <xdr:cNvGraphicFramePr/>
      </xdr:nvGraphicFramePr>
      <xdr:xfrm>
        <a:off x="0" y="6162675"/>
        <a:ext cx="5467350" cy="20002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66675</xdr:rowOff>
    </xdr:from>
    <xdr:to>
      <xdr:col>7</xdr:col>
      <xdr:colOff>0</xdr:colOff>
      <xdr:row>60</xdr:row>
      <xdr:rowOff>104775</xdr:rowOff>
    </xdr:to>
    <xdr:graphicFrame>
      <xdr:nvGraphicFramePr>
        <xdr:cNvPr id="5" name="Chart 8"/>
        <xdr:cNvGraphicFramePr/>
      </xdr:nvGraphicFramePr>
      <xdr:xfrm>
        <a:off x="0" y="8162925"/>
        <a:ext cx="5467350" cy="19812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75</xdr:row>
      <xdr:rowOff>19050</xdr:rowOff>
    </xdr:from>
    <xdr:to>
      <xdr:col>7</xdr:col>
      <xdr:colOff>0</xdr:colOff>
      <xdr:row>87</xdr:row>
      <xdr:rowOff>76200</xdr:rowOff>
    </xdr:to>
    <xdr:graphicFrame>
      <xdr:nvGraphicFramePr>
        <xdr:cNvPr id="6" name="Chart 9"/>
        <xdr:cNvGraphicFramePr/>
      </xdr:nvGraphicFramePr>
      <xdr:xfrm>
        <a:off x="0" y="12487275"/>
        <a:ext cx="5467350" cy="20002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87</xdr:row>
      <xdr:rowOff>76200</xdr:rowOff>
    </xdr:from>
    <xdr:to>
      <xdr:col>7</xdr:col>
      <xdr:colOff>0</xdr:colOff>
      <xdr:row>99</xdr:row>
      <xdr:rowOff>133350</xdr:rowOff>
    </xdr:to>
    <xdr:graphicFrame>
      <xdr:nvGraphicFramePr>
        <xdr:cNvPr id="7" name="Chart 10"/>
        <xdr:cNvGraphicFramePr/>
      </xdr:nvGraphicFramePr>
      <xdr:xfrm>
        <a:off x="0" y="14487525"/>
        <a:ext cx="5467350" cy="20002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63</xdr:row>
      <xdr:rowOff>0</xdr:rowOff>
    </xdr:from>
    <xdr:to>
      <xdr:col>7</xdr:col>
      <xdr:colOff>0</xdr:colOff>
      <xdr:row>75</xdr:row>
      <xdr:rowOff>19050</xdr:rowOff>
    </xdr:to>
    <xdr:graphicFrame>
      <xdr:nvGraphicFramePr>
        <xdr:cNvPr id="8" name="Chart 11"/>
        <xdr:cNvGraphicFramePr/>
      </xdr:nvGraphicFramePr>
      <xdr:xfrm>
        <a:off x="0" y="10525125"/>
        <a:ext cx="5467350" cy="196215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cdr:y>
    </cdr:from>
    <cdr:to>
      <cdr:x>0.10625</cdr:x>
      <cdr:y>0.1035</cdr:y>
    </cdr:to>
    <cdr:sp>
      <cdr:nvSpPr>
        <cdr:cNvPr id="1" name="TextBox 1"/>
        <cdr:cNvSpPr txBox="1">
          <a:spLocks noChangeArrowheads="1"/>
        </cdr:cNvSpPr>
      </cdr:nvSpPr>
      <cdr:spPr>
        <a:xfrm>
          <a:off x="0" y="133350"/>
          <a:ext cx="428625" cy="371475"/>
        </a:xfrm>
        <a:prstGeom prst="rect">
          <a:avLst/>
        </a:prstGeom>
        <a:noFill/>
        <a:ln w="9525" cmpd="sng">
          <a:noFill/>
        </a:ln>
      </cdr:spPr>
      <cdr:txBody>
        <a:bodyPr vertOverflow="clip" wrap="square"/>
        <a:p>
          <a:pPr algn="l">
            <a:defRPr/>
          </a:pPr>
          <a:r>
            <a:rPr lang="en-US" cap="none" sz="1000" b="0" i="0" u="sng" baseline="0">
              <a:latin typeface="Arial"/>
              <a:ea typeface="Arial"/>
              <a:cs typeface="Arial"/>
            </a:rPr>
            <a:t>  </a:t>
          </a:r>
          <a:r>
            <a:rPr lang="en-US" cap="none" sz="1000" b="1" i="0" u="sng" baseline="0">
              <a:latin typeface="Arial"/>
              <a:ea typeface="Arial"/>
              <a:cs typeface="Arial"/>
            </a:rPr>
            <a:t>F</a:t>
          </a:r>
          <a:r>
            <a:rPr lang="en-US" cap="none" sz="1000" b="1" i="0" u="sng" baseline="-25000">
              <a:latin typeface="Arial"/>
              <a:ea typeface="Arial"/>
              <a:cs typeface="Arial"/>
            </a:rPr>
            <a:t>V</a:t>
          </a:r>
          <a:r>
            <a:rPr lang="en-US" cap="none" sz="1000" b="0" i="0" u="sng" baseline="-25000">
              <a:latin typeface="Arial"/>
              <a:ea typeface="Arial"/>
              <a:cs typeface="Arial"/>
            </a:rPr>
            <a:t>    </a:t>
          </a:r>
          <a:r>
            <a:rPr lang="en-US" cap="none" sz="1000" b="1" i="0" u="none" baseline="-25000">
              <a:latin typeface="Arial"/>
              <a:ea typeface="Arial"/>
              <a:cs typeface="Arial"/>
            </a:rPr>
            <a:t>
</a:t>
          </a:r>
          <a:r>
            <a:rPr lang="en-US" cap="none" sz="1000" b="1" i="0" u="none" baseline="0">
              <a:latin typeface="Arial"/>
              <a:ea typeface="Arial"/>
              <a:cs typeface="Arial"/>
            </a:rPr>
            <a:t>Fmax</a:t>
          </a:r>
        </a:p>
      </cdr:txBody>
    </cdr:sp>
  </cdr:relSizeAnchor>
  <cdr:relSizeAnchor xmlns:cdr="http://schemas.openxmlformats.org/drawingml/2006/chartDrawing">
    <cdr:from>
      <cdr:x>0.47575</cdr:x>
      <cdr:y>0.92575</cdr:y>
    </cdr:from>
    <cdr:to>
      <cdr:x>0.582</cdr:x>
      <cdr:y>0.99975</cdr:y>
    </cdr:to>
    <cdr:sp>
      <cdr:nvSpPr>
        <cdr:cNvPr id="2" name="TextBox 2"/>
        <cdr:cNvSpPr txBox="1">
          <a:spLocks noChangeArrowheads="1"/>
        </cdr:cNvSpPr>
      </cdr:nvSpPr>
      <cdr:spPr>
        <a:xfrm>
          <a:off x="1905000" y="4610100"/>
          <a:ext cx="428625" cy="371475"/>
        </a:xfrm>
        <a:prstGeom prst="rect">
          <a:avLst/>
        </a:prstGeom>
        <a:noFill/>
        <a:ln w="9525" cmpd="sng">
          <a:noFill/>
        </a:ln>
      </cdr:spPr>
      <cdr:txBody>
        <a:bodyPr vertOverflow="clip" wrap="square"/>
        <a:p>
          <a:pPr algn="l">
            <a:defRPr/>
          </a:pPr>
          <a:r>
            <a:rPr lang="en-US" cap="none" sz="1000" b="0" i="0" u="sng" baseline="0">
              <a:latin typeface="Arial"/>
              <a:ea typeface="Arial"/>
              <a:cs typeface="Arial"/>
            </a:rPr>
            <a:t>  </a:t>
          </a:r>
          <a:r>
            <a:rPr lang="en-US" cap="none" sz="1000" b="1" i="0" u="sng" baseline="0">
              <a:latin typeface="Arial"/>
              <a:ea typeface="Arial"/>
              <a:cs typeface="Arial"/>
            </a:rPr>
            <a:t>F</a:t>
          </a:r>
          <a:r>
            <a:rPr lang="en-US" cap="none" sz="1000" b="1" i="0" u="sng" baseline="-25000">
              <a:latin typeface="Arial"/>
              <a:ea typeface="Arial"/>
              <a:cs typeface="Arial"/>
            </a:rPr>
            <a:t>H</a:t>
          </a:r>
          <a:r>
            <a:rPr lang="en-US" cap="none" sz="1000" b="0" i="0" u="sng" baseline="-25000">
              <a:latin typeface="Arial"/>
              <a:ea typeface="Arial"/>
              <a:cs typeface="Arial"/>
            </a:rPr>
            <a:t>    </a:t>
          </a:r>
          <a:r>
            <a:rPr lang="en-US" cap="none" sz="1000" b="1" i="0" u="none" baseline="-25000">
              <a:latin typeface="Arial"/>
              <a:ea typeface="Arial"/>
              <a:cs typeface="Arial"/>
            </a:rPr>
            <a:t>
</a:t>
          </a:r>
          <a:r>
            <a:rPr lang="en-US" cap="none" sz="1000" b="1" i="0" u="none" baseline="0">
              <a:latin typeface="Arial"/>
              <a:ea typeface="Arial"/>
              <a:cs typeface="Arial"/>
            </a:rPr>
            <a:t>Fmax</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942975</xdr:colOff>
      <xdr:row>13</xdr:row>
      <xdr:rowOff>114300</xdr:rowOff>
    </xdr:to>
    <xdr:graphicFrame>
      <xdr:nvGraphicFramePr>
        <xdr:cNvPr id="1" name="Chart 1"/>
        <xdr:cNvGraphicFramePr/>
      </xdr:nvGraphicFramePr>
      <xdr:xfrm>
        <a:off x="0" y="0"/>
        <a:ext cx="5181600" cy="2733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76200</xdr:rowOff>
    </xdr:from>
    <xdr:to>
      <xdr:col>6</xdr:col>
      <xdr:colOff>942975</xdr:colOff>
      <xdr:row>50</xdr:row>
      <xdr:rowOff>123825</xdr:rowOff>
    </xdr:to>
    <xdr:graphicFrame>
      <xdr:nvGraphicFramePr>
        <xdr:cNvPr id="2" name="Chart 2"/>
        <xdr:cNvGraphicFramePr/>
      </xdr:nvGraphicFramePr>
      <xdr:xfrm>
        <a:off x="0" y="5448300"/>
        <a:ext cx="5181600" cy="328612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xdr:row>
      <xdr:rowOff>38100</xdr:rowOff>
    </xdr:from>
    <xdr:to>
      <xdr:col>10</xdr:col>
      <xdr:colOff>333375</xdr:colOff>
      <xdr:row>34</xdr:row>
      <xdr:rowOff>0</xdr:rowOff>
    </xdr:to>
    <xdr:graphicFrame>
      <xdr:nvGraphicFramePr>
        <xdr:cNvPr id="3" name="Chart 9"/>
        <xdr:cNvGraphicFramePr/>
      </xdr:nvGraphicFramePr>
      <xdr:xfrm>
        <a:off x="5181600" y="1038225"/>
        <a:ext cx="4019550" cy="4981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xdr:row>
      <xdr:rowOff>104775</xdr:rowOff>
    </xdr:from>
    <xdr:to>
      <xdr:col>6</xdr:col>
      <xdr:colOff>942975</xdr:colOff>
      <xdr:row>30</xdr:row>
      <xdr:rowOff>85725</xdr:rowOff>
    </xdr:to>
    <xdr:graphicFrame>
      <xdr:nvGraphicFramePr>
        <xdr:cNvPr id="4" name="Chart 11"/>
        <xdr:cNvGraphicFramePr/>
      </xdr:nvGraphicFramePr>
      <xdr:xfrm>
        <a:off x="0" y="2724150"/>
        <a:ext cx="5181600" cy="27336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50</xdr:row>
      <xdr:rowOff>123825</xdr:rowOff>
    </xdr:from>
    <xdr:to>
      <xdr:col>6</xdr:col>
      <xdr:colOff>942975</xdr:colOff>
      <xdr:row>67</xdr:row>
      <xdr:rowOff>114300</xdr:rowOff>
    </xdr:to>
    <xdr:graphicFrame>
      <xdr:nvGraphicFramePr>
        <xdr:cNvPr id="5" name="Chart 17"/>
        <xdr:cNvGraphicFramePr/>
      </xdr:nvGraphicFramePr>
      <xdr:xfrm>
        <a:off x="0" y="8734425"/>
        <a:ext cx="5181600" cy="27432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67</xdr:row>
      <xdr:rowOff>114300</xdr:rowOff>
    </xdr:from>
    <xdr:to>
      <xdr:col>7</xdr:col>
      <xdr:colOff>0</xdr:colOff>
      <xdr:row>84</xdr:row>
      <xdr:rowOff>114300</xdr:rowOff>
    </xdr:to>
    <xdr:graphicFrame>
      <xdr:nvGraphicFramePr>
        <xdr:cNvPr id="6" name="Chart 18"/>
        <xdr:cNvGraphicFramePr/>
      </xdr:nvGraphicFramePr>
      <xdr:xfrm>
        <a:off x="0" y="11477625"/>
        <a:ext cx="5181600" cy="27527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85</xdr:row>
      <xdr:rowOff>0</xdr:rowOff>
    </xdr:from>
    <xdr:to>
      <xdr:col>7</xdr:col>
      <xdr:colOff>0</xdr:colOff>
      <xdr:row>102</xdr:row>
      <xdr:rowOff>9525</xdr:rowOff>
    </xdr:to>
    <xdr:graphicFrame>
      <xdr:nvGraphicFramePr>
        <xdr:cNvPr id="7" name="Chart 19"/>
        <xdr:cNvGraphicFramePr/>
      </xdr:nvGraphicFramePr>
      <xdr:xfrm>
        <a:off x="0" y="14277975"/>
        <a:ext cx="5181600" cy="27622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77</xdr:row>
      <xdr:rowOff>0</xdr:rowOff>
    </xdr:from>
    <xdr:to>
      <xdr:col>12</xdr:col>
      <xdr:colOff>142875</xdr:colOff>
      <xdr:row>92</xdr:row>
      <xdr:rowOff>152400</xdr:rowOff>
    </xdr:to>
    <xdr:graphicFrame>
      <xdr:nvGraphicFramePr>
        <xdr:cNvPr id="1" name="Chart 1"/>
        <xdr:cNvGraphicFramePr/>
      </xdr:nvGraphicFramePr>
      <xdr:xfrm>
        <a:off x="1200150" y="12515850"/>
        <a:ext cx="5191125" cy="2581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142875</xdr:rowOff>
    </xdr:from>
    <xdr:to>
      <xdr:col>13</xdr:col>
      <xdr:colOff>0</xdr:colOff>
      <xdr:row>19</xdr:row>
      <xdr:rowOff>85725</xdr:rowOff>
    </xdr:to>
    <xdr:graphicFrame>
      <xdr:nvGraphicFramePr>
        <xdr:cNvPr id="1" name="Chart 1"/>
        <xdr:cNvGraphicFramePr/>
      </xdr:nvGraphicFramePr>
      <xdr:xfrm>
        <a:off x="3838575" y="1123950"/>
        <a:ext cx="4591050" cy="26955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19</xdr:row>
      <xdr:rowOff>85725</xdr:rowOff>
    </xdr:from>
    <xdr:to>
      <xdr:col>13</xdr:col>
      <xdr:colOff>0</xdr:colOff>
      <xdr:row>36</xdr:row>
      <xdr:rowOff>38100</xdr:rowOff>
    </xdr:to>
    <xdr:graphicFrame>
      <xdr:nvGraphicFramePr>
        <xdr:cNvPr id="2" name="Chart 2"/>
        <xdr:cNvGraphicFramePr/>
      </xdr:nvGraphicFramePr>
      <xdr:xfrm>
        <a:off x="3838575" y="3819525"/>
        <a:ext cx="4591050" cy="27051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13</xdr:col>
      <xdr:colOff>0</xdr:colOff>
      <xdr:row>53</xdr:row>
      <xdr:rowOff>0</xdr:rowOff>
    </xdr:to>
    <xdr:graphicFrame>
      <xdr:nvGraphicFramePr>
        <xdr:cNvPr id="3" name="Chart 3"/>
        <xdr:cNvGraphicFramePr/>
      </xdr:nvGraphicFramePr>
      <xdr:xfrm>
        <a:off x="3838575" y="6524625"/>
        <a:ext cx="4591050" cy="27146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142875</xdr:rowOff>
    </xdr:from>
    <xdr:to>
      <xdr:col>14</xdr:col>
      <xdr:colOff>0</xdr:colOff>
      <xdr:row>19</xdr:row>
      <xdr:rowOff>85725</xdr:rowOff>
    </xdr:to>
    <xdr:graphicFrame>
      <xdr:nvGraphicFramePr>
        <xdr:cNvPr id="1" name="Chart 1"/>
        <xdr:cNvGraphicFramePr/>
      </xdr:nvGraphicFramePr>
      <xdr:xfrm>
        <a:off x="3771900" y="685800"/>
        <a:ext cx="5553075" cy="26955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19</xdr:row>
      <xdr:rowOff>85725</xdr:rowOff>
    </xdr:from>
    <xdr:to>
      <xdr:col>14</xdr:col>
      <xdr:colOff>0</xdr:colOff>
      <xdr:row>36</xdr:row>
      <xdr:rowOff>38100</xdr:rowOff>
    </xdr:to>
    <xdr:graphicFrame>
      <xdr:nvGraphicFramePr>
        <xdr:cNvPr id="2" name="Chart 2"/>
        <xdr:cNvGraphicFramePr/>
      </xdr:nvGraphicFramePr>
      <xdr:xfrm>
        <a:off x="3771900" y="3381375"/>
        <a:ext cx="5553075" cy="27051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14</xdr:col>
      <xdr:colOff>0</xdr:colOff>
      <xdr:row>53</xdr:row>
      <xdr:rowOff>0</xdr:rowOff>
    </xdr:to>
    <xdr:graphicFrame>
      <xdr:nvGraphicFramePr>
        <xdr:cNvPr id="3" name="Chart 3"/>
        <xdr:cNvGraphicFramePr/>
      </xdr:nvGraphicFramePr>
      <xdr:xfrm>
        <a:off x="3771900" y="6086475"/>
        <a:ext cx="55530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74"/>
  <sheetViews>
    <sheetView showGridLines="0" workbookViewId="0" topLeftCell="A1">
      <pane xSplit="13" ySplit="2" topLeftCell="O3" activePane="bottomRight" state="frozen"/>
      <selection pane="topLeft" activeCell="G1" sqref="G1"/>
      <selection pane="topRight" activeCell="N1" sqref="N1"/>
      <selection pane="bottomLeft" activeCell="G3" sqref="G3"/>
      <selection pane="bottomRight" activeCell="B36" sqref="B36"/>
    </sheetView>
  </sheetViews>
  <sheetFormatPr defaultColWidth="11.421875" defaultRowHeight="12.75"/>
  <cols>
    <col min="1" max="1" width="11.421875" style="2" customWidth="1"/>
    <col min="2" max="2" width="10.00390625" style="2" customWidth="1"/>
    <col min="3" max="3" width="14.57421875" style="2" customWidth="1"/>
    <col min="4" max="5" width="6.57421875" style="2" customWidth="1"/>
    <col min="6" max="6" width="7.421875" style="2" customWidth="1"/>
    <col min="7" max="7" width="12.7109375" style="2" customWidth="1"/>
    <col min="8" max="8" width="12.140625" style="2" customWidth="1"/>
    <col min="9" max="9" width="11.140625" style="2" customWidth="1"/>
    <col min="10" max="10" width="9.421875" style="2" customWidth="1"/>
    <col min="11" max="11" width="8.7109375" style="2" customWidth="1"/>
    <col min="12" max="12" width="5.28125" style="2" customWidth="1"/>
    <col min="13" max="13" width="12.7109375" style="2" customWidth="1"/>
    <col min="14" max="16384" width="11.421875" style="2" customWidth="1"/>
  </cols>
  <sheetData>
    <row r="1" spans="1:13" ht="29.25" thickBot="1">
      <c r="A1" s="6" t="s">
        <v>0</v>
      </c>
      <c r="B1" s="7" t="s">
        <v>11</v>
      </c>
      <c r="C1" s="7" t="s">
        <v>12</v>
      </c>
      <c r="D1" s="44" t="s">
        <v>13</v>
      </c>
      <c r="E1" s="45"/>
      <c r="H1" s="8" t="s">
        <v>14</v>
      </c>
      <c r="I1" s="9" t="s">
        <v>15</v>
      </c>
      <c r="J1" s="9" t="s">
        <v>16</v>
      </c>
      <c r="K1" s="9" t="s">
        <v>17</v>
      </c>
      <c r="L1" s="10" t="s">
        <v>18</v>
      </c>
      <c r="M1" s="11"/>
    </row>
    <row r="2" spans="1:13" ht="13.5" thickBot="1">
      <c r="A2" s="12">
        <v>0</v>
      </c>
      <c r="B2" s="13">
        <f>I$2+H$2-SQRT(I$2^2-H$2^2*SIN(A2*PI()/180)^2)-H$2*COS(A2*PI()/180)</f>
        <v>0</v>
      </c>
      <c r="C2" s="13">
        <f>(H$2^2*(PI()*J$2/30)*SIN(A2*PI()/180)*COS(A2*PI()/180)/SQRT(I$2^2-H$2^2*SIN(A2*PI()/180)^2)+H$2*(PI()*J$2/30)*SIN(A2*PI()/180))/1000</f>
        <v>0</v>
      </c>
      <c r="D2" s="14">
        <f>(PI()^2*J$2^2*H$2*COS(PI()*A2/180)/900+SQRT(2)*PI()^2*J$2^2*H$2^2*(4*(2*I$2^2-H$2^2)*COS(PI()*A2/90)+H$2^2*(COS(PI()*A2/45)+3))/(3600*(H$2^2*COS(PI()*A2/90)+2*I$2^2-H$2^2)^(3/2)))/1000</f>
        <v>39416.718045630965</v>
      </c>
      <c r="E2" s="15">
        <f>D2/1000</f>
        <v>39.416718045630965</v>
      </c>
      <c r="H2" s="16">
        <f>78/2</f>
        <v>39</v>
      </c>
      <c r="I2" s="17">
        <v>141.5</v>
      </c>
      <c r="J2" s="17">
        <v>8500</v>
      </c>
      <c r="K2" s="18">
        <f>MAX(C2:C74)</f>
        <v>36.0132811868011</v>
      </c>
      <c r="L2" s="19">
        <f>H2*J2/15000</f>
        <v>22.1</v>
      </c>
      <c r="M2" s="11"/>
    </row>
    <row r="3" spans="1:13" ht="12.75">
      <c r="A3" s="20">
        <v>5</v>
      </c>
      <c r="B3" s="13">
        <f aca="true" t="shared" si="0" ref="B3:B66">I$2+H$2-SQRT(I$2^2-H$2^2*SIN(A3*PI()/180)^2)-H$2*COS(A3*PI()/180)</f>
        <v>0.18923847428738583</v>
      </c>
      <c r="C3" s="13">
        <f aca="true" t="shared" si="1" ref="C3:C66">(H$2^2*(PI()*J$2/30)*SIN(A3*PI()/180)*COS(A3*PI()/180)/SQRT(I$2^2-H$2^2*SIN(A3*PI()/180)^2)+H$2*(PI()*J$2/30)*SIN(A3*PI()/180))/1000</f>
        <v>3.856547690657036</v>
      </c>
      <c r="D3" s="14">
        <f aca="true" t="shared" si="2" ref="D3:D66">(PI()^2*J$2^2*H$2*COS(PI()*A3/180)/900+SQRT(2)*PI()^2*J$2^2*H$2^2*(4*(2*I$2^2-H$2^2)*COS(PI()*A3/90)+H$2^2*(COS(PI()*A3/45)+3))/(3600*(H$2^2*COS(PI()*A3/90)+2*I$2^2-H$2^2)^(3/2)))/1000</f>
        <v>39177.0494244261</v>
      </c>
      <c r="E3" s="21">
        <f aca="true" t="shared" si="3" ref="E3:E66">D3/1000</f>
        <v>39.1770494244261</v>
      </c>
      <c r="G3" s="11"/>
      <c r="H3" s="11"/>
      <c r="I3" s="11"/>
      <c r="J3" s="11"/>
      <c r="K3" s="11"/>
      <c r="L3" s="11"/>
      <c r="M3" s="11"/>
    </row>
    <row r="4" spans="1:5" ht="12.75">
      <c r="A4" s="20">
        <v>10</v>
      </c>
      <c r="B4" s="13">
        <f t="shared" si="0"/>
        <v>0.7546533086921983</v>
      </c>
      <c r="C4" s="13">
        <f t="shared" si="1"/>
        <v>7.666225214104239</v>
      </c>
      <c r="D4" s="14">
        <f t="shared" si="2"/>
        <v>38461.827835791504</v>
      </c>
      <c r="E4" s="21">
        <f t="shared" si="3"/>
        <v>38.4618278357915</v>
      </c>
    </row>
    <row r="5" spans="1:5" ht="12.75">
      <c r="A5" s="20">
        <v>15</v>
      </c>
      <c r="B5" s="13">
        <f t="shared" si="0"/>
        <v>1.68937910269306</v>
      </c>
      <c r="C5" s="13">
        <f t="shared" si="1"/>
        <v>11.382904070867397</v>
      </c>
      <c r="D5" s="14">
        <f t="shared" si="2"/>
        <v>37282.39527458605</v>
      </c>
      <c r="E5" s="21">
        <f t="shared" si="3"/>
        <v>37.28239527458605</v>
      </c>
    </row>
    <row r="6" spans="1:14" ht="12.75">
      <c r="A6" s="20">
        <v>20</v>
      </c>
      <c r="B6" s="13">
        <f t="shared" si="0"/>
        <v>2.982094629057933</v>
      </c>
      <c r="C6" s="13">
        <f t="shared" si="1"/>
        <v>14.961936765259534</v>
      </c>
      <c r="D6" s="14">
        <f t="shared" si="2"/>
        <v>35657.61260355301</v>
      </c>
      <c r="E6" s="21">
        <f t="shared" si="3"/>
        <v>35.65761260355301</v>
      </c>
      <c r="N6" s="27"/>
    </row>
    <row r="7" spans="1:5" ht="12.75">
      <c r="A7" s="20">
        <v>25</v>
      </c>
      <c r="B7" s="13">
        <f t="shared" si="0"/>
        <v>4.617204051134259</v>
      </c>
      <c r="C7" s="13">
        <f t="shared" si="1"/>
        <v>18.360890238125293</v>
      </c>
      <c r="D7" s="14">
        <f t="shared" si="2"/>
        <v>33613.77382622168</v>
      </c>
      <c r="E7" s="21">
        <f t="shared" si="3"/>
        <v>33.61377382622168</v>
      </c>
    </row>
    <row r="8" spans="1:5" ht="12.75">
      <c r="A8" s="20">
        <v>30</v>
      </c>
      <c r="B8" s="13">
        <f t="shared" si="0"/>
        <v>6.575089523567954</v>
      </c>
      <c r="C8" s="13">
        <f t="shared" si="1"/>
        <v>21.540267393846705</v>
      </c>
      <c r="D8" s="14">
        <f t="shared" si="2"/>
        <v>31184.442944760893</v>
      </c>
      <c r="E8" s="21">
        <f t="shared" si="3"/>
        <v>31.184442944760892</v>
      </c>
    </row>
    <row r="9" spans="1:5" ht="12.75">
      <c r="A9" s="20">
        <v>35</v>
      </c>
      <c r="B9" s="13">
        <f t="shared" si="0"/>
        <v>8.832433575786187</v>
      </c>
      <c r="C9" s="13">
        <f t="shared" si="1"/>
        <v>24.464207216237988</v>
      </c>
      <c r="D9" s="14">
        <f t="shared" si="2"/>
        <v>28410.17285796503</v>
      </c>
      <c r="E9" s="21">
        <f t="shared" si="3"/>
        <v>28.41017285796503</v>
      </c>
    </row>
    <row r="10" spans="1:5" ht="12.75">
      <c r="A10" s="20">
        <v>40</v>
      </c>
      <c r="B10" s="13">
        <f t="shared" si="0"/>
        <v>11.362608538099419</v>
      </c>
      <c r="C10" s="13">
        <f t="shared" si="1"/>
        <v>27.101149618235826</v>
      </c>
      <c r="D10" s="14">
        <f t="shared" si="2"/>
        <v>25338.058742577294</v>
      </c>
      <c r="E10" s="21">
        <f t="shared" si="3"/>
        <v>25.338058742577292</v>
      </c>
    </row>
    <row r="11" spans="1:5" ht="12.75">
      <c r="A11" s="20">
        <v>45</v>
      </c>
      <c r="B11" s="13">
        <f t="shared" si="0"/>
        <v>14.136128677484258</v>
      </c>
      <c r="C11" s="13">
        <f t="shared" si="1"/>
        <v>29.42444634990836</v>
      </c>
      <c r="D11" s="14">
        <f t="shared" si="2"/>
        <v>22021.07609462934</v>
      </c>
      <c r="E11" s="21">
        <f t="shared" si="3"/>
        <v>22.02107609462934</v>
      </c>
    </row>
    <row r="12" spans="1:5" ht="12.75">
      <c r="A12" s="20">
        <v>50</v>
      </c>
      <c r="B12" s="13">
        <f t="shared" si="0"/>
        <v>17.121158643854717</v>
      </c>
      <c r="C12" s="13">
        <f t="shared" si="1"/>
        <v>31.412894561653797</v>
      </c>
      <c r="D12" s="14">
        <f t="shared" si="2"/>
        <v>18517.158107608753</v>
      </c>
      <c r="E12" s="21">
        <f t="shared" si="3"/>
        <v>18.517158107608754</v>
      </c>
    </row>
    <row r="13" spans="1:5" ht="12.75">
      <c r="A13" s="20">
        <v>55</v>
      </c>
      <c r="B13" s="13">
        <f t="shared" si="0"/>
        <v>20.284069332705133</v>
      </c>
      <c r="C13" s="13">
        <f t="shared" si="1"/>
        <v>33.051165743964</v>
      </c>
      <c r="D13" s="14">
        <f t="shared" si="2"/>
        <v>14887.980222818835</v>
      </c>
      <c r="E13" s="21">
        <f t="shared" si="3"/>
        <v>14.887980222818834</v>
      </c>
    </row>
    <row r="14" spans="1:5" ht="12.75">
      <c r="A14" s="20">
        <v>60</v>
      </c>
      <c r="B14" s="13">
        <f t="shared" si="0"/>
        <v>23.590029473840584</v>
      </c>
      <c r="C14" s="13">
        <f t="shared" si="1"/>
        <v>34.33010065575645</v>
      </c>
      <c r="D14" s="14">
        <f t="shared" si="2"/>
        <v>11197.442646440986</v>
      </c>
      <c r="E14" s="21">
        <f t="shared" si="3"/>
        <v>11.197442646440987</v>
      </c>
    </row>
    <row r="15" spans="1:5" ht="12.75">
      <c r="A15" s="20">
        <v>65</v>
      </c>
      <c r="B15" s="13">
        <f t="shared" si="0"/>
        <v>27.00361837891113</v>
      </c>
      <c r="C15" s="13">
        <f t="shared" si="1"/>
        <v>35.24684146861386</v>
      </c>
      <c r="D15" s="14">
        <f t="shared" si="2"/>
        <v>7509.874028203283</v>
      </c>
      <c r="E15" s="21">
        <f t="shared" si="3"/>
        <v>7.509874028203283</v>
      </c>
    </row>
    <row r="16" spans="1:5" ht="12.75">
      <c r="A16" s="20">
        <v>70</v>
      </c>
      <c r="B16" s="13">
        <f t="shared" si="0"/>
        <v>30.489442632041737</v>
      </c>
      <c r="C16" s="13">
        <f t="shared" si="1"/>
        <v>35.804776515243546</v>
      </c>
      <c r="D16" s="14">
        <f t="shared" si="2"/>
        <v>3888.018796695966</v>
      </c>
      <c r="E16" s="21">
        <f t="shared" si="3"/>
        <v>3.8880187966959663</v>
      </c>
    </row>
    <row r="17" spans="1:5" ht="12.75">
      <c r="A17" s="20">
        <v>75</v>
      </c>
      <c r="B17" s="13">
        <f t="shared" si="0"/>
        <v>34.01273746168869</v>
      </c>
      <c r="C17" s="13">
        <f t="shared" si="1"/>
        <v>36.0132811868011</v>
      </c>
      <c r="D17" s="14">
        <f t="shared" si="2"/>
        <v>390.911811355466</v>
      </c>
      <c r="E17" s="21">
        <f t="shared" si="3"/>
        <v>0.390911811355466</v>
      </c>
    </row>
    <row r="18" spans="1:5" ht="12.75">
      <c r="A18" s="20">
        <v>80</v>
      </c>
      <c r="B18" s="13">
        <f t="shared" si="0"/>
        <v>37.53993247784045</v>
      </c>
      <c r="C18" s="13">
        <f t="shared" si="1"/>
        <v>35.8872505208935</v>
      </c>
      <c r="D18" s="14">
        <f t="shared" si="2"/>
        <v>-2928.2201402167425</v>
      </c>
      <c r="E18" s="21">
        <f t="shared" si="3"/>
        <v>-2.9282201402167427</v>
      </c>
    </row>
    <row r="19" spans="1:5" ht="12.75">
      <c r="A19" s="20">
        <v>85</v>
      </c>
      <c r="B19" s="13">
        <f t="shared" si="0"/>
        <v>41.03916173502614</v>
      </c>
      <c r="C19" s="13">
        <f t="shared" si="1"/>
        <v>35.44643394559134</v>
      </c>
      <c r="D19" s="14">
        <f t="shared" si="2"/>
        <v>-6023.867967767931</v>
      </c>
      <c r="E19" s="21">
        <f t="shared" si="3"/>
        <v>-6.023867967767931</v>
      </c>
    </row>
    <row r="20" spans="1:5" ht="12.75">
      <c r="A20" s="20">
        <v>90</v>
      </c>
      <c r="B20" s="13">
        <f t="shared" si="0"/>
        <v>44.48069989887463</v>
      </c>
      <c r="C20" s="13">
        <f t="shared" si="1"/>
        <v>34.71459882216722</v>
      </c>
      <c r="D20" s="14">
        <f t="shared" si="2"/>
        <v>-8859.796885354228</v>
      </c>
      <c r="E20" s="21">
        <f t="shared" si="3"/>
        <v>-8.859796885354228</v>
      </c>
    </row>
    <row r="21" spans="1:5" ht="12.75">
      <c r="A21" s="20">
        <v>95</v>
      </c>
      <c r="B21" s="13">
        <f t="shared" si="0"/>
        <v>47.83730966934348</v>
      </c>
      <c r="C21" s="13">
        <f t="shared" si="1"/>
        <v>33.71856464045854</v>
      </c>
      <c r="D21" s="14">
        <f t="shared" si="2"/>
        <v>-11410.107938059247</v>
      </c>
      <c r="E21" s="21">
        <f t="shared" si="3"/>
        <v>-11.410107938059248</v>
      </c>
    </row>
    <row r="22" spans="1:5" ht="12.75">
      <c r="A22" s="20">
        <v>100</v>
      </c>
      <c r="B22" s="13">
        <f t="shared" si="0"/>
        <v>51.08449033586102</v>
      </c>
      <c r="C22" s="13">
        <f t="shared" si="1"/>
        <v>32.48716160466397</v>
      </c>
      <c r="D22" s="14">
        <f t="shared" si="2"/>
        <v>-13659.70754232484</v>
      </c>
      <c r="E22" s="21">
        <f t="shared" si="3"/>
        <v>-13.65970754232484</v>
      </c>
    </row>
    <row r="23" spans="1:14" ht="12.75">
      <c r="A23" s="20">
        <v>105</v>
      </c>
      <c r="B23" s="13">
        <f t="shared" si="0"/>
        <v>54.200622979685306</v>
      </c>
      <c r="C23" s="13">
        <f t="shared" si="1"/>
        <v>31.050173916389667</v>
      </c>
      <c r="D23" s="14">
        <f t="shared" si="2"/>
        <v>-15604.149923590116</v>
      </c>
      <c r="E23" s="21">
        <f t="shared" si="3"/>
        <v>-15.604149923590116</v>
      </c>
      <c r="N23" s="27"/>
    </row>
    <row r="24" spans="1:5" ht="12.75">
      <c r="A24" s="20">
        <v>110</v>
      </c>
      <c r="B24" s="13">
        <f t="shared" si="0"/>
        <v>57.1670138114439</v>
      </c>
      <c r="C24" s="13">
        <f t="shared" si="1"/>
        <v>29.4373281782239</v>
      </c>
      <c r="D24" s="14">
        <f t="shared" si="2"/>
        <v>-17248.885193201826</v>
      </c>
      <c r="E24" s="21">
        <f t="shared" si="3"/>
        <v>-17.248885193201826</v>
      </c>
    </row>
    <row r="25" spans="1:5" ht="12.75">
      <c r="A25" s="20">
        <v>115</v>
      </c>
      <c r="B25" s="13">
        <f t="shared" si="0"/>
        <v>59.96784279468568</v>
      </c>
      <c r="C25" s="13">
        <f t="shared" si="1"/>
        <v>27.67738100415308</v>
      </c>
      <c r="D25" s="14">
        <f t="shared" si="2"/>
        <v>-18608.007614472008</v>
      </c>
      <c r="E25" s="21">
        <f t="shared" si="3"/>
        <v>-18.608007614472008</v>
      </c>
    </row>
    <row r="26" spans="1:5" ht="12.75">
      <c r="A26" s="20">
        <v>120</v>
      </c>
      <c r="B26" s="13">
        <f t="shared" si="0"/>
        <v>62.59002947384058</v>
      </c>
      <c r="C26" s="13">
        <f t="shared" si="1"/>
        <v>25.797348268607866</v>
      </c>
      <c r="D26" s="14">
        <f t="shared" si="2"/>
        <v>-19702.64379930295</v>
      </c>
      <c r="E26" s="21">
        <f t="shared" si="3"/>
        <v>-19.70264379930295</v>
      </c>
    </row>
    <row r="27" spans="1:5" ht="12.75">
      <c r="A27" s="20">
        <v>125</v>
      </c>
      <c r="B27" s="13">
        <f t="shared" si="0"/>
        <v>65.02303136808672</v>
      </c>
      <c r="C27" s="13">
        <f t="shared" si="1"/>
        <v>23.821903439737014</v>
      </c>
      <c r="D27" s="14">
        <f t="shared" si="2"/>
        <v>-20559.142710159296</v>
      </c>
      <c r="E27" s="21">
        <f t="shared" si="3"/>
        <v>-20.559142710159296</v>
      </c>
    </row>
    <row r="28" spans="1:5" ht="12.75">
      <c r="A28" s="20">
        <v>130</v>
      </c>
      <c r="B28" s="13">
        <f t="shared" si="0"/>
        <v>67.25859219940479</v>
      </c>
      <c r="C28" s="13">
        <f t="shared" si="1"/>
        <v>21.772956483997834</v>
      </c>
      <c r="D28" s="14">
        <f t="shared" si="2"/>
        <v>-21207.227303525604</v>
      </c>
      <c r="E28" s="21">
        <f t="shared" si="3"/>
        <v>-21.207227303525602</v>
      </c>
    </row>
    <row r="29" spans="1:5" ht="12.75">
      <c r="A29" s="20">
        <v>135</v>
      </c>
      <c r="B29" s="13">
        <f t="shared" si="0"/>
        <v>69.29045761003496</v>
      </c>
      <c r="C29" s="13">
        <f t="shared" si="1"/>
        <v>19.669410116741588</v>
      </c>
      <c r="D29" s="14">
        <f t="shared" si="2"/>
        <v>-21678.245235442777</v>
      </c>
      <c r="E29" s="21">
        <f t="shared" si="3"/>
        <v>-21.678245235442777</v>
      </c>
    </row>
    <row r="30" spans="1:5" ht="12.75">
      <c r="A30" s="20">
        <v>140</v>
      </c>
      <c r="B30" s="13">
        <f t="shared" si="0"/>
        <v>71.1140751013797</v>
      </c>
      <c r="C30" s="13">
        <f t="shared" si="1"/>
        <v>17.52707837802021</v>
      </c>
      <c r="D30" s="14">
        <f t="shared" si="2"/>
        <v>-22003.620284739092</v>
      </c>
      <c r="E30" s="21">
        <f t="shared" si="3"/>
        <v>-22.003620284739092</v>
      </c>
    </row>
    <row r="31" spans="1:5" ht="12.75">
      <c r="A31" s="20">
        <v>145</v>
      </c>
      <c r="B31" s="13">
        <f t="shared" si="0"/>
        <v>72.72629303032754</v>
      </c>
      <c r="C31" s="13">
        <f t="shared" si="1"/>
        <v>15.358744547311804</v>
      </c>
      <c r="D31" s="14">
        <f t="shared" si="2"/>
        <v>-22213.56510351039</v>
      </c>
      <c r="E31" s="21">
        <f t="shared" si="3"/>
        <v>-22.21356510351039</v>
      </c>
    </row>
    <row r="32" spans="1:5" ht="12.75">
      <c r="A32" s="20">
        <v>150</v>
      </c>
      <c r="B32" s="13">
        <f t="shared" si="0"/>
        <v>74.12507101875417</v>
      </c>
      <c r="C32" s="13">
        <f t="shared" si="1"/>
        <v>13.174331428320501</v>
      </c>
      <c r="D32" s="14">
        <f t="shared" si="2"/>
        <v>-22336.076737538013</v>
      </c>
      <c r="E32" s="21">
        <f t="shared" si="3"/>
        <v>-22.33607673753801</v>
      </c>
    </row>
    <row r="33" spans="1:5" ht="12.75">
      <c r="A33" s="20">
        <v>155</v>
      </c>
      <c r="B33" s="13">
        <f t="shared" si="0"/>
        <v>75.30921143999296</v>
      </c>
      <c r="C33" s="13">
        <f t="shared" si="1"/>
        <v>10.981156584374792</v>
      </c>
      <c r="D33" s="14">
        <f t="shared" si="2"/>
        <v>-22396.204105545054</v>
      </c>
      <c r="E33" s="21">
        <f t="shared" si="3"/>
        <v>-22.396204105545053</v>
      </c>
    </row>
    <row r="34" spans="1:14" ht="12.75">
      <c r="A34" s="20">
        <v>160</v>
      </c>
      <c r="B34" s="13">
        <f t="shared" si="0"/>
        <v>76.27811905035878</v>
      </c>
      <c r="C34" s="13">
        <f t="shared" si="1"/>
        <v>8.784247364041915</v>
      </c>
      <c r="D34" s="14">
        <f t="shared" si="2"/>
        <v>-22415.553825871473</v>
      </c>
      <c r="E34" s="21">
        <f t="shared" si="3"/>
        <v>-22.415553825871473</v>
      </c>
      <c r="N34" s="27"/>
    </row>
    <row r="35" spans="1:5" ht="12.75">
      <c r="A35" s="20">
        <v>165</v>
      </c>
      <c r="B35" s="13">
        <f t="shared" si="0"/>
        <v>77.03159355324038</v>
      </c>
      <c r="C35" s="13">
        <f t="shared" si="1"/>
        <v>6.586694565673431</v>
      </c>
      <c r="D35" s="14">
        <f t="shared" si="2"/>
        <v>-22411.987790431645</v>
      </c>
      <c r="E35" s="21">
        <f t="shared" si="3"/>
        <v>-22.411987790431645</v>
      </c>
    </row>
    <row r="36" spans="1:5" ht="12.75">
      <c r="A36" s="20">
        <v>170</v>
      </c>
      <c r="B36" s="13">
        <f t="shared" si="0"/>
        <v>77.56965804364442</v>
      </c>
      <c r="C36" s="13">
        <f t="shared" si="1"/>
        <v>4.390028433711565</v>
      </c>
      <c r="D36" s="14">
        <f t="shared" si="2"/>
        <v>-22399.461565240632</v>
      </c>
      <c r="E36" s="21">
        <f t="shared" si="3"/>
        <v>-22.39946156524063</v>
      </c>
    </row>
    <row r="37" spans="1:5" ht="12.75">
      <c r="A37" s="20">
        <v>175</v>
      </c>
      <c r="B37" s="13">
        <f t="shared" si="0"/>
        <v>77.89242492544355</v>
      </c>
      <c r="C37" s="13">
        <f t="shared" si="1"/>
        <v>2.194605598408902</v>
      </c>
      <c r="D37" s="14">
        <f t="shared" si="2"/>
        <v>-22387.955151227332</v>
      </c>
      <c r="E37" s="21">
        <f t="shared" si="3"/>
        <v>-22.38795515122733</v>
      </c>
    </row>
    <row r="38" spans="1:5" ht="12.75">
      <c r="A38" s="20">
        <v>180</v>
      </c>
      <c r="B38" s="13">
        <f t="shared" si="0"/>
        <v>78</v>
      </c>
      <c r="C38" s="13">
        <f t="shared" si="1"/>
        <v>3.0808339602469636E-15</v>
      </c>
      <c r="D38" s="14">
        <f t="shared" si="2"/>
        <v>-22383.454845856904</v>
      </c>
      <c r="E38" s="21">
        <f t="shared" si="3"/>
        <v>-22.383454845856903</v>
      </c>
    </row>
    <row r="39" spans="1:5" ht="12.75">
      <c r="A39" s="20">
        <v>185</v>
      </c>
      <c r="B39" s="13">
        <f t="shared" si="0"/>
        <v>77.89242492544355</v>
      </c>
      <c r="C39" s="13">
        <f t="shared" si="1"/>
        <v>-2.1946055984088844</v>
      </c>
      <c r="D39" s="14">
        <f t="shared" si="2"/>
        <v>-22387.95515122733</v>
      </c>
      <c r="E39" s="21">
        <f t="shared" si="3"/>
        <v>-22.387955151227327</v>
      </c>
    </row>
    <row r="40" spans="1:14" ht="12.75">
      <c r="A40" s="20">
        <v>190</v>
      </c>
      <c r="B40" s="13">
        <f t="shared" si="0"/>
        <v>77.56965804364442</v>
      </c>
      <c r="C40" s="13">
        <f t="shared" si="1"/>
        <v>-4.390028433711571</v>
      </c>
      <c r="D40" s="14">
        <f t="shared" si="2"/>
        <v>-22399.461565240632</v>
      </c>
      <c r="E40" s="21">
        <f t="shared" si="3"/>
        <v>-22.39946156524063</v>
      </c>
      <c r="N40" s="27"/>
    </row>
    <row r="41" spans="1:5" ht="12.75">
      <c r="A41" s="20">
        <v>195</v>
      </c>
      <c r="B41" s="13">
        <f t="shared" si="0"/>
        <v>77.03159355324038</v>
      </c>
      <c r="C41" s="13">
        <f t="shared" si="1"/>
        <v>-6.5866945656734135</v>
      </c>
      <c r="D41" s="14">
        <f t="shared" si="2"/>
        <v>-22411.98779043165</v>
      </c>
      <c r="E41" s="21">
        <f t="shared" si="3"/>
        <v>-22.41198779043165</v>
      </c>
    </row>
    <row r="42" spans="1:5" ht="12.75">
      <c r="A42" s="20">
        <v>200</v>
      </c>
      <c r="B42" s="13">
        <f t="shared" si="0"/>
        <v>76.27811905035878</v>
      </c>
      <c r="C42" s="13">
        <f t="shared" si="1"/>
        <v>-8.784247364041908</v>
      </c>
      <c r="D42" s="14">
        <f t="shared" si="2"/>
        <v>-22415.553825871473</v>
      </c>
      <c r="E42" s="21">
        <f t="shared" si="3"/>
        <v>-22.415553825871473</v>
      </c>
    </row>
    <row r="43" spans="1:5" ht="12.75">
      <c r="A43" s="20">
        <v>205</v>
      </c>
      <c r="B43" s="13">
        <f t="shared" si="0"/>
        <v>75.30921143999296</v>
      </c>
      <c r="C43" s="13">
        <f t="shared" si="1"/>
        <v>-10.981156584374787</v>
      </c>
      <c r="D43" s="14">
        <f t="shared" si="2"/>
        <v>-22396.204105545054</v>
      </c>
      <c r="E43" s="21">
        <f t="shared" si="3"/>
        <v>-22.396204105545053</v>
      </c>
    </row>
    <row r="44" spans="1:5" ht="12.75">
      <c r="A44" s="20">
        <v>210</v>
      </c>
      <c r="B44" s="13">
        <f t="shared" si="0"/>
        <v>74.12507101875417</v>
      </c>
      <c r="C44" s="13">
        <f t="shared" si="1"/>
        <v>-13.174331428320507</v>
      </c>
      <c r="D44" s="14">
        <f t="shared" si="2"/>
        <v>-22336.07673753801</v>
      </c>
      <c r="E44" s="21">
        <f t="shared" si="3"/>
        <v>-22.336076737538008</v>
      </c>
    </row>
    <row r="45" spans="1:5" ht="12.75">
      <c r="A45" s="20">
        <v>215</v>
      </c>
      <c r="B45" s="13">
        <f t="shared" si="0"/>
        <v>72.72629303032755</v>
      </c>
      <c r="C45" s="13">
        <f t="shared" si="1"/>
        <v>-15.358744547311789</v>
      </c>
      <c r="D45" s="14">
        <f t="shared" si="2"/>
        <v>-22213.56510351039</v>
      </c>
      <c r="E45" s="21">
        <f t="shared" si="3"/>
        <v>-22.21356510351039</v>
      </c>
    </row>
    <row r="46" spans="1:5" ht="12.75">
      <c r="A46" s="20">
        <v>220</v>
      </c>
      <c r="B46" s="13">
        <f t="shared" si="0"/>
        <v>71.1140751013797</v>
      </c>
      <c r="C46" s="13">
        <f t="shared" si="1"/>
        <v>-17.5270783780202</v>
      </c>
      <c r="D46" s="14">
        <f t="shared" si="2"/>
        <v>-22003.620284739092</v>
      </c>
      <c r="E46" s="21">
        <f t="shared" si="3"/>
        <v>-22.003620284739092</v>
      </c>
    </row>
    <row r="47" spans="1:5" ht="12.75">
      <c r="A47" s="20">
        <v>225</v>
      </c>
      <c r="B47" s="13">
        <f t="shared" si="0"/>
        <v>69.29045761003498</v>
      </c>
      <c r="C47" s="13">
        <f t="shared" si="1"/>
        <v>-19.66941011674158</v>
      </c>
      <c r="D47" s="14">
        <f t="shared" si="2"/>
        <v>-21678.245235442777</v>
      </c>
      <c r="E47" s="21">
        <f t="shared" si="3"/>
        <v>-21.678245235442777</v>
      </c>
    </row>
    <row r="48" spans="1:5" ht="12.75">
      <c r="A48" s="20">
        <v>230</v>
      </c>
      <c r="B48" s="13">
        <f t="shared" si="0"/>
        <v>67.25859219940479</v>
      </c>
      <c r="C48" s="13">
        <f t="shared" si="1"/>
        <v>-21.77295648399783</v>
      </c>
      <c r="D48" s="14">
        <f t="shared" si="2"/>
        <v>-21207.2273035256</v>
      </c>
      <c r="E48" s="21">
        <f t="shared" si="3"/>
        <v>-21.2072273035256</v>
      </c>
    </row>
    <row r="49" spans="1:5" ht="12.75">
      <c r="A49" s="20">
        <v>235</v>
      </c>
      <c r="B49" s="13">
        <f t="shared" si="0"/>
        <v>65.02303136808675</v>
      </c>
      <c r="C49" s="13">
        <f t="shared" si="1"/>
        <v>-23.821903439737</v>
      </c>
      <c r="D49" s="14">
        <f t="shared" si="2"/>
        <v>-20559.142710159307</v>
      </c>
      <c r="E49" s="21">
        <f t="shared" si="3"/>
        <v>-20.559142710159307</v>
      </c>
    </row>
    <row r="50" spans="1:5" ht="12.75">
      <c r="A50" s="20">
        <v>240</v>
      </c>
      <c r="B50" s="13">
        <f t="shared" si="0"/>
        <v>62.5900294738406</v>
      </c>
      <c r="C50" s="13">
        <f t="shared" si="1"/>
        <v>-25.797348268607852</v>
      </c>
      <c r="D50" s="14">
        <f t="shared" si="2"/>
        <v>-19702.643799302958</v>
      </c>
      <c r="E50" s="21">
        <f t="shared" si="3"/>
        <v>-19.702643799302958</v>
      </c>
    </row>
    <row r="51" spans="1:14" ht="12.75">
      <c r="A51" s="20">
        <v>245</v>
      </c>
      <c r="B51" s="13">
        <f t="shared" si="0"/>
        <v>59.96784279468571</v>
      </c>
      <c r="C51" s="13">
        <f t="shared" si="1"/>
        <v>-27.677381004153062</v>
      </c>
      <c r="D51" s="14">
        <f t="shared" si="2"/>
        <v>-18608.007614472022</v>
      </c>
      <c r="E51" s="21">
        <f t="shared" si="3"/>
        <v>-18.608007614472022</v>
      </c>
      <c r="N51" s="27"/>
    </row>
    <row r="52" spans="1:5" ht="12.75">
      <c r="A52" s="20">
        <v>250</v>
      </c>
      <c r="B52" s="13">
        <f t="shared" si="0"/>
        <v>57.16701381144392</v>
      </c>
      <c r="C52" s="13">
        <f t="shared" si="1"/>
        <v>-29.437328178223883</v>
      </c>
      <c r="D52" s="14">
        <f t="shared" si="2"/>
        <v>-17248.88519320184</v>
      </c>
      <c r="E52" s="21">
        <f t="shared" si="3"/>
        <v>-17.24888519320184</v>
      </c>
    </row>
    <row r="53" spans="1:5" ht="12.75">
      <c r="A53" s="20">
        <v>255</v>
      </c>
      <c r="B53" s="13">
        <f t="shared" si="0"/>
        <v>54.2006229796853</v>
      </c>
      <c r="C53" s="13">
        <f t="shared" si="1"/>
        <v>-31.05017391638967</v>
      </c>
      <c r="D53" s="14">
        <f t="shared" si="2"/>
        <v>-15604.149923590108</v>
      </c>
      <c r="E53" s="21">
        <f t="shared" si="3"/>
        <v>-15.604149923590109</v>
      </c>
    </row>
    <row r="54" spans="1:5" ht="12.75">
      <c r="A54" s="20">
        <v>260</v>
      </c>
      <c r="B54" s="13">
        <f t="shared" si="0"/>
        <v>51.08449033586102</v>
      </c>
      <c r="C54" s="13">
        <f t="shared" si="1"/>
        <v>-32.48716160466397</v>
      </c>
      <c r="D54" s="14">
        <f t="shared" si="2"/>
        <v>-13659.70754232484</v>
      </c>
      <c r="E54" s="21">
        <f t="shared" si="3"/>
        <v>-13.65970754232484</v>
      </c>
    </row>
    <row r="55" spans="1:5" ht="12.75">
      <c r="A55" s="20">
        <v>265</v>
      </c>
      <c r="B55" s="13">
        <f t="shared" si="0"/>
        <v>47.83730966934348</v>
      </c>
      <c r="C55" s="13">
        <f t="shared" si="1"/>
        <v>-33.71856464045854</v>
      </c>
      <c r="D55" s="14">
        <f t="shared" si="2"/>
        <v>-11410.107938059247</v>
      </c>
      <c r="E55" s="21">
        <f t="shared" si="3"/>
        <v>-11.410107938059248</v>
      </c>
    </row>
    <row r="56" spans="1:5" ht="12.75">
      <c r="A56" s="20">
        <v>270</v>
      </c>
      <c r="B56" s="13">
        <f t="shared" si="0"/>
        <v>44.48069989887464</v>
      </c>
      <c r="C56" s="13">
        <f t="shared" si="1"/>
        <v>-34.71459882216722</v>
      </c>
      <c r="D56" s="14">
        <f t="shared" si="2"/>
        <v>-8859.796885354235</v>
      </c>
      <c r="E56" s="21">
        <f t="shared" si="3"/>
        <v>-8.859796885354235</v>
      </c>
    </row>
    <row r="57" spans="1:5" ht="12.75">
      <c r="A57" s="20">
        <v>275</v>
      </c>
      <c r="B57" s="13">
        <f t="shared" si="0"/>
        <v>41.039161735026155</v>
      </c>
      <c r="C57" s="13">
        <f t="shared" si="1"/>
        <v>-35.44643394559133</v>
      </c>
      <c r="D57" s="14">
        <f t="shared" si="2"/>
        <v>-6023.867967767936</v>
      </c>
      <c r="E57" s="21">
        <f t="shared" si="3"/>
        <v>-6.023867967767935</v>
      </c>
    </row>
    <row r="58" spans="1:5" ht="12.75">
      <c r="A58" s="20">
        <v>280</v>
      </c>
      <c r="B58" s="13">
        <f t="shared" si="0"/>
        <v>37.539932477840466</v>
      </c>
      <c r="C58" s="13">
        <f t="shared" si="1"/>
        <v>-35.88725052089351</v>
      </c>
      <c r="D58" s="14">
        <f t="shared" si="2"/>
        <v>-2928.2201402167593</v>
      </c>
      <c r="E58" s="21">
        <f t="shared" si="3"/>
        <v>-2.928220140216759</v>
      </c>
    </row>
    <row r="59" spans="1:5" ht="12.75">
      <c r="A59" s="20">
        <v>285</v>
      </c>
      <c r="B59" s="13">
        <f t="shared" si="0"/>
        <v>34.01273746168867</v>
      </c>
      <c r="C59" s="13">
        <f t="shared" si="1"/>
        <v>-36.0132811868011</v>
      </c>
      <c r="D59" s="14">
        <f t="shared" si="2"/>
        <v>390.91181135548277</v>
      </c>
      <c r="E59" s="21">
        <f t="shared" si="3"/>
        <v>0.39091181135548275</v>
      </c>
    </row>
    <row r="60" spans="1:5" ht="12.75">
      <c r="A60" s="20">
        <v>290</v>
      </c>
      <c r="B60" s="13">
        <f t="shared" si="0"/>
        <v>30.48944263204176</v>
      </c>
      <c r="C60" s="13">
        <f t="shared" si="1"/>
        <v>-35.804776515243546</v>
      </c>
      <c r="D60" s="14">
        <f t="shared" si="2"/>
        <v>3888.01879669594</v>
      </c>
      <c r="E60" s="21">
        <f t="shared" si="3"/>
        <v>3.88801879669594</v>
      </c>
    </row>
    <row r="61" spans="1:5" ht="12.75">
      <c r="A61" s="20">
        <v>295</v>
      </c>
      <c r="B61" s="13">
        <f t="shared" si="0"/>
        <v>27.003618378911128</v>
      </c>
      <c r="C61" s="13">
        <f t="shared" si="1"/>
        <v>-35.24684146861386</v>
      </c>
      <c r="D61" s="14">
        <f t="shared" si="2"/>
        <v>7509.874028203289</v>
      </c>
      <c r="E61" s="21">
        <f t="shared" si="3"/>
        <v>7.5098740282032885</v>
      </c>
    </row>
    <row r="62" spans="1:5" ht="12.75">
      <c r="A62" s="20">
        <v>300</v>
      </c>
      <c r="B62" s="13">
        <f t="shared" si="0"/>
        <v>23.590029473840584</v>
      </c>
      <c r="C62" s="13">
        <f t="shared" si="1"/>
        <v>-34.33010065575645</v>
      </c>
      <c r="D62" s="14">
        <f t="shared" si="2"/>
        <v>11197.442646440986</v>
      </c>
      <c r="E62" s="21">
        <f t="shared" si="3"/>
        <v>11.197442646440987</v>
      </c>
    </row>
    <row r="63" spans="1:5" ht="12.75">
      <c r="A63" s="20">
        <v>305</v>
      </c>
      <c r="B63" s="13">
        <f t="shared" si="0"/>
        <v>20.284069332705137</v>
      </c>
      <c r="C63" s="13">
        <f t="shared" si="1"/>
        <v>-33.051165743964</v>
      </c>
      <c r="D63" s="14">
        <f t="shared" si="2"/>
        <v>14887.98022281883</v>
      </c>
      <c r="E63" s="21">
        <f t="shared" si="3"/>
        <v>14.887980222818829</v>
      </c>
    </row>
    <row r="64" spans="1:5" ht="12.75">
      <c r="A64" s="20">
        <v>310</v>
      </c>
      <c r="B64" s="13">
        <f t="shared" si="0"/>
        <v>17.12115864385472</v>
      </c>
      <c r="C64" s="13">
        <f t="shared" si="1"/>
        <v>-31.4128945616538</v>
      </c>
      <c r="D64" s="14">
        <f t="shared" si="2"/>
        <v>18517.158107608746</v>
      </c>
      <c r="E64" s="21">
        <f t="shared" si="3"/>
        <v>18.517158107608747</v>
      </c>
    </row>
    <row r="65" spans="1:5" ht="12.75">
      <c r="A65" s="20">
        <v>315</v>
      </c>
      <c r="B65" s="13">
        <f t="shared" si="0"/>
        <v>14.136128677484269</v>
      </c>
      <c r="C65" s="13">
        <f t="shared" si="1"/>
        <v>-29.42444634990837</v>
      </c>
      <c r="D65" s="14">
        <f t="shared" si="2"/>
        <v>22021.07609462933</v>
      </c>
      <c r="E65" s="21">
        <f t="shared" si="3"/>
        <v>22.02107609462933</v>
      </c>
    </row>
    <row r="66" spans="1:5" ht="12.75">
      <c r="A66" s="20">
        <v>320</v>
      </c>
      <c r="B66" s="13">
        <f t="shared" si="0"/>
        <v>11.362608538099426</v>
      </c>
      <c r="C66" s="13">
        <f t="shared" si="1"/>
        <v>-27.10114961823584</v>
      </c>
      <c r="D66" s="14">
        <f t="shared" si="2"/>
        <v>25338.05874257728</v>
      </c>
      <c r="E66" s="21">
        <f t="shared" si="3"/>
        <v>25.338058742577278</v>
      </c>
    </row>
    <row r="67" spans="1:5" ht="12.75">
      <c r="A67" s="20">
        <v>325</v>
      </c>
      <c r="B67" s="13">
        <f aca="true" t="shared" si="4" ref="B67:B74">I$2+H$2-SQRT(I$2^2-H$2^2*SIN(A67*PI()/180)^2)-H$2*COS(A67*PI()/180)</f>
        <v>8.832433575786197</v>
      </c>
      <c r="C67" s="13">
        <f aca="true" t="shared" si="5" ref="C67:C74">(H$2^2*(PI()*J$2/30)*SIN(A67*PI()/180)*COS(A67*PI()/180)/SQRT(I$2^2-H$2^2*SIN(A67*PI()/180)^2)+H$2*(PI()*J$2/30)*SIN(A67*PI()/180))/1000</f>
        <v>-24.464207216238005</v>
      </c>
      <c r="D67" s="14">
        <f aca="true" t="shared" si="6" ref="D67:D74">(PI()^2*J$2^2*H$2*COS(PI()*A67/180)/900+SQRT(2)*PI()^2*J$2^2*H$2^2*(4*(2*I$2^2-H$2^2)*COS(PI()*A67/90)+H$2^2*(COS(PI()*A67/45)+3))/(3600*(H$2^2*COS(PI()*A67/90)+2*I$2^2-H$2^2)^(3/2)))/1000</f>
        <v>28410.172857965015</v>
      </c>
      <c r="E67" s="21">
        <f aca="true" t="shared" si="7" ref="E67:E74">D67/1000</f>
        <v>28.410172857965016</v>
      </c>
    </row>
    <row r="68" spans="1:5" ht="12.75">
      <c r="A68" s="20">
        <v>330</v>
      </c>
      <c r="B68" s="13">
        <f t="shared" si="4"/>
        <v>6.575089523567968</v>
      </c>
      <c r="C68" s="13">
        <f t="shared" si="5"/>
        <v>-21.540267393846726</v>
      </c>
      <c r="D68" s="14">
        <f t="shared" si="6"/>
        <v>31184.442944760875</v>
      </c>
      <c r="E68" s="21">
        <f t="shared" si="7"/>
        <v>31.184442944760875</v>
      </c>
    </row>
    <row r="69" spans="1:5" ht="12.75">
      <c r="A69" s="20">
        <v>335</v>
      </c>
      <c r="B69" s="13">
        <f t="shared" si="4"/>
        <v>4.617204051134266</v>
      </c>
      <c r="C69" s="13">
        <f t="shared" si="5"/>
        <v>-18.360890238125315</v>
      </c>
      <c r="D69" s="14">
        <f t="shared" si="6"/>
        <v>33613.77382622166</v>
      </c>
      <c r="E69" s="21">
        <f t="shared" si="7"/>
        <v>33.61377382622166</v>
      </c>
    </row>
    <row r="70" spans="1:5" ht="12.75">
      <c r="A70" s="20">
        <v>340</v>
      </c>
      <c r="B70" s="13">
        <f t="shared" si="4"/>
        <v>2.982094629057933</v>
      </c>
      <c r="C70" s="13">
        <f t="shared" si="5"/>
        <v>-14.961936765259528</v>
      </c>
      <c r="D70" s="14">
        <f t="shared" si="6"/>
        <v>35657.61260355301</v>
      </c>
      <c r="E70" s="21">
        <f t="shared" si="7"/>
        <v>35.65761260355301</v>
      </c>
    </row>
    <row r="71" spans="1:5" ht="12.75">
      <c r="A71" s="20">
        <v>345</v>
      </c>
      <c r="B71" s="13">
        <f t="shared" si="4"/>
        <v>1.68937910269306</v>
      </c>
      <c r="C71" s="13">
        <f t="shared" si="5"/>
        <v>-11.382904070867395</v>
      </c>
      <c r="D71" s="14">
        <f t="shared" si="6"/>
        <v>37282.39527458605</v>
      </c>
      <c r="E71" s="21">
        <f t="shared" si="7"/>
        <v>37.28239527458605</v>
      </c>
    </row>
    <row r="72" spans="1:5" ht="12.75">
      <c r="A72" s="20">
        <v>350</v>
      </c>
      <c r="B72" s="13">
        <f t="shared" si="4"/>
        <v>0.7546533086922054</v>
      </c>
      <c r="C72" s="13">
        <f t="shared" si="5"/>
        <v>-7.666225214104281</v>
      </c>
      <c r="D72" s="14">
        <f t="shared" si="6"/>
        <v>38461.8278357915</v>
      </c>
      <c r="E72" s="21">
        <f t="shared" si="7"/>
        <v>38.461827835791496</v>
      </c>
    </row>
    <row r="73" spans="1:5" ht="12.75">
      <c r="A73" s="20">
        <v>355</v>
      </c>
      <c r="B73" s="13">
        <f t="shared" si="4"/>
        <v>0.18923847428738583</v>
      </c>
      <c r="C73" s="13">
        <f t="shared" si="5"/>
        <v>-3.856547690657043</v>
      </c>
      <c r="D73" s="14">
        <f t="shared" si="6"/>
        <v>39177.0494244261</v>
      </c>
      <c r="E73" s="21">
        <f t="shared" si="7"/>
        <v>39.1770494244261</v>
      </c>
    </row>
    <row r="74" spans="1:5" ht="13.5" thickBot="1">
      <c r="A74" s="16">
        <v>360</v>
      </c>
      <c r="B74" s="18">
        <f t="shared" si="4"/>
        <v>0</v>
      </c>
      <c r="C74" s="18">
        <f t="shared" si="5"/>
        <v>-1.085054692340638E-14</v>
      </c>
      <c r="D74" s="22">
        <f t="shared" si="6"/>
        <v>39416.718045630965</v>
      </c>
      <c r="E74" s="23">
        <f t="shared" si="7"/>
        <v>39.416718045630965</v>
      </c>
    </row>
  </sheetData>
  <mergeCells count="1">
    <mergeCell ref="D1:E1"/>
  </mergeCells>
  <printOptions horizontalCentered="1" verticalCentered="1"/>
  <pageMargins left="0.7874015748031497" right="0.7874015748031497" top="0.984251968503937" bottom="0.98425196850393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I1:Q77"/>
  <sheetViews>
    <sheetView showGridLines="0" zoomScaleSheetLayoutView="100" workbookViewId="0" topLeftCell="A1">
      <selection activeCell="K2" sqref="K2"/>
    </sheetView>
  </sheetViews>
  <sheetFormatPr defaultColWidth="11.421875" defaultRowHeight="12.75"/>
  <cols>
    <col min="1" max="1" width="12.00390625" style="1" bestFit="1" customWidth="1"/>
    <col min="2" max="2" width="11.140625" style="1" customWidth="1"/>
    <col min="3" max="3" width="10.140625" style="1" customWidth="1"/>
    <col min="4" max="5" width="9.57421875" style="1" customWidth="1"/>
    <col min="6" max="6" width="11.140625" style="1" bestFit="1" customWidth="1"/>
    <col min="7" max="7" width="18.421875" style="1" customWidth="1"/>
    <col min="8" max="8" width="10.28125" style="1" bestFit="1" customWidth="1"/>
    <col min="9" max="16384" width="11.421875" style="1" customWidth="1"/>
  </cols>
  <sheetData>
    <row r="1" spans="9:11" ht="12.75">
      <c r="I1" s="2" t="s">
        <v>6</v>
      </c>
      <c r="J1" s="2" t="s">
        <v>7</v>
      </c>
      <c r="K1" s="2" t="s">
        <v>10</v>
      </c>
    </row>
    <row r="2" spans="9:11" ht="12.75">
      <c r="I2" s="2">
        <f>78/2</f>
        <v>39</v>
      </c>
      <c r="J2" s="2">
        <v>141.5</v>
      </c>
      <c r="K2" s="24">
        <f>COS(I5*PI()/180)+$I$2/$J$2*COS(2*I5*PI()/180)-1/4*($I$2/$J$2)^3*COS(4*I5*PI()/180)+1/14*($I$2/$J$2)^5*COS(6*I5*PI()/180)</f>
        <v>1.2704976124663545</v>
      </c>
    </row>
    <row r="4" spans="9:17" ht="38.25">
      <c r="I4" s="2" t="s">
        <v>0</v>
      </c>
      <c r="J4" s="2" t="s">
        <v>5</v>
      </c>
      <c r="K4" s="2" t="s">
        <v>1</v>
      </c>
      <c r="L4" s="2" t="s">
        <v>2</v>
      </c>
      <c r="M4" s="2" t="s">
        <v>3</v>
      </c>
      <c r="N4" s="2" t="s">
        <v>4</v>
      </c>
      <c r="P4" s="3" t="s">
        <v>8</v>
      </c>
      <c r="Q4" s="3" t="s">
        <v>9</v>
      </c>
    </row>
    <row r="5" spans="9:17" ht="12.75">
      <c r="I5" s="2">
        <v>0</v>
      </c>
      <c r="J5" s="4">
        <f>(SUM(K5:N5))</f>
        <v>1.0000000000000002</v>
      </c>
      <c r="K5" s="4">
        <f aca="true" t="shared" si="0" ref="K5:K36">COS(I5*PI()/180)/$K$2</f>
        <v>0.7870931752943237</v>
      </c>
      <c r="L5" s="4">
        <f aca="true" t="shared" si="1" ref="L5:L36">$I$2/$J$2*COS(2*I5*PI()/180)/$K$2</f>
        <v>0.21693734160055564</v>
      </c>
      <c r="M5" s="4">
        <f aca="true" t="shared" si="2" ref="M5:M36">-1/4*($I$2/$J$2)^3*COS(4*I5*PI()/180)/$K$2</f>
        <v>-0.004119937776404315</v>
      </c>
      <c r="N5" s="4">
        <f aca="true" t="shared" si="3" ref="N5:N36">1/14*($I$2/$J$2)^5*COS(6*I5*PI()/180)/$K$2</f>
        <v>8.942088152517415E-05</v>
      </c>
      <c r="O5" s="5"/>
      <c r="P5" s="4">
        <f>(J5-K5)</f>
        <v>0.21290682470567657</v>
      </c>
      <c r="Q5" s="4">
        <f>(J5-K5-L5)</f>
        <v>-0.0040305168948790715</v>
      </c>
    </row>
    <row r="6" spans="9:17" ht="12.75">
      <c r="I6" s="2">
        <v>5</v>
      </c>
      <c r="J6" s="4">
        <f aca="true" t="shared" si="4" ref="J6:J69">(SUM(K6:N6))</f>
        <v>0.9939455896869324</v>
      </c>
      <c r="K6" s="4">
        <f t="shared" si="0"/>
        <v>0.784098048132402</v>
      </c>
      <c r="L6" s="4">
        <f t="shared" si="1"/>
        <v>0.213641575926085</v>
      </c>
      <c r="M6" s="4">
        <f t="shared" si="2"/>
        <v>-0.003871475126584239</v>
      </c>
      <c r="N6" s="4">
        <f t="shared" si="3"/>
        <v>7.744075502959939E-05</v>
      </c>
      <c r="O6" s="5"/>
      <c r="P6" s="4">
        <f aca="true" t="shared" si="5" ref="P6:P69">(J6-K6)</f>
        <v>0.20984754155453034</v>
      </c>
      <c r="Q6" s="4">
        <f aca="true" t="shared" si="6" ref="Q6:Q69">(J6-K6-L6)</f>
        <v>-0.00379403437155465</v>
      </c>
    </row>
    <row r="7" spans="9:17" ht="12.75">
      <c r="I7" s="2">
        <v>10</v>
      </c>
      <c r="J7" s="4">
        <f t="shared" si="4"/>
        <v>0.975878535448953</v>
      </c>
      <c r="K7" s="4">
        <f t="shared" si="0"/>
        <v>0.7751354613728468</v>
      </c>
      <c r="L7" s="4">
        <f t="shared" si="1"/>
        <v>0.20385441907495402</v>
      </c>
      <c r="M7" s="4">
        <f t="shared" si="2"/>
        <v>-0.003156055439610484</v>
      </c>
      <c r="N7" s="4">
        <f t="shared" si="3"/>
        <v>4.471044076258709E-05</v>
      </c>
      <c r="O7" s="5"/>
      <c r="P7" s="4">
        <f t="shared" si="5"/>
        <v>0.20074307407610614</v>
      </c>
      <c r="Q7" s="4">
        <f t="shared" si="6"/>
        <v>-0.0031113449988478814</v>
      </c>
    </row>
    <row r="8" spans="9:17" ht="12.75">
      <c r="I8" s="2">
        <v>15</v>
      </c>
      <c r="J8" s="4">
        <f t="shared" si="4"/>
        <v>0.9460869056799978</v>
      </c>
      <c r="K8" s="4">
        <f t="shared" si="0"/>
        <v>0.760273625712656</v>
      </c>
      <c r="L8" s="4">
        <f t="shared" si="1"/>
        <v>0.1878732488555439</v>
      </c>
      <c r="M8" s="4">
        <f t="shared" si="2"/>
        <v>-0.002059968888202158</v>
      </c>
      <c r="N8" s="4">
        <f t="shared" si="3"/>
        <v>5.477692741856694E-21</v>
      </c>
      <c r="O8" s="5"/>
      <c r="P8" s="4">
        <f t="shared" si="5"/>
        <v>0.18581327996734176</v>
      </c>
      <c r="Q8" s="4">
        <f t="shared" si="6"/>
        <v>-0.002059968888202146</v>
      </c>
    </row>
    <row r="9" spans="9:17" ht="12.75">
      <c r="I9" s="2">
        <v>20</v>
      </c>
      <c r="J9" s="4">
        <f t="shared" si="4"/>
        <v>0.9050491636053981</v>
      </c>
      <c r="K9" s="4">
        <f t="shared" si="0"/>
        <v>0.7396256486950253</v>
      </c>
      <c r="L9" s="4">
        <f t="shared" si="1"/>
        <v>0.16618364503810915</v>
      </c>
      <c r="M9" s="4">
        <f t="shared" si="2"/>
        <v>-0.0007154196869737547</v>
      </c>
      <c r="N9" s="4">
        <f t="shared" si="3"/>
        <v>-4.4710440762587056E-05</v>
      </c>
      <c r="O9" s="5"/>
      <c r="P9" s="4">
        <f t="shared" si="5"/>
        <v>0.16542351491037277</v>
      </c>
      <c r="Q9" s="4">
        <f t="shared" si="6"/>
        <v>-0.0007601301277363748</v>
      </c>
    </row>
    <row r="10" spans="9:17" ht="12.75">
      <c r="I10" s="2">
        <v>25</v>
      </c>
      <c r="J10" s="4">
        <f t="shared" si="4"/>
        <v>0.853431288083766</v>
      </c>
      <c r="K10" s="4">
        <f t="shared" si="0"/>
        <v>0.7133486738926484</v>
      </c>
      <c r="L10" s="4">
        <f t="shared" si="1"/>
        <v>0.13944463525917342</v>
      </c>
      <c r="M10" s="4">
        <f t="shared" si="2"/>
        <v>0.0007154196869737543</v>
      </c>
      <c r="N10" s="4">
        <f t="shared" si="3"/>
        <v>-7.744075502959939E-05</v>
      </c>
      <c r="O10" s="5"/>
      <c r="P10" s="4">
        <f t="shared" si="5"/>
        <v>0.14008261419111756</v>
      </c>
      <c r="Q10" s="4">
        <f t="shared" si="6"/>
        <v>0.0006379789319441442</v>
      </c>
    </row>
    <row r="11" spans="9:17" ht="12.75">
      <c r="I11" s="2">
        <v>30</v>
      </c>
      <c r="J11" s="4">
        <f t="shared" si="4"/>
        <v>0.7920819037571974</v>
      </c>
      <c r="K11" s="4">
        <f t="shared" si="0"/>
        <v>0.6816426849502426</v>
      </c>
      <c r="L11" s="4">
        <f t="shared" si="1"/>
        <v>0.10846867080027785</v>
      </c>
      <c r="M11" s="4">
        <f t="shared" si="2"/>
        <v>0.0020599688882021565</v>
      </c>
      <c r="N11" s="4">
        <f t="shared" si="3"/>
        <v>-8.942088152517415E-05</v>
      </c>
      <c r="O11" s="5"/>
      <c r="P11" s="4">
        <f t="shared" si="5"/>
        <v>0.11043921880695484</v>
      </c>
      <c r="Q11" s="4">
        <f t="shared" si="6"/>
        <v>0.001970548006676995</v>
      </c>
    </row>
    <row r="12" spans="9:17" ht="12.75">
      <c r="I12" s="2">
        <v>35</v>
      </c>
      <c r="J12" s="4">
        <f t="shared" si="4"/>
        <v>0.7220245389397515</v>
      </c>
      <c r="K12" s="4">
        <f t="shared" si="0"/>
        <v>0.6447489835882589</v>
      </c>
      <c r="L12" s="4">
        <f t="shared" si="1"/>
        <v>0.07419694066691163</v>
      </c>
      <c r="M12" s="4">
        <f t="shared" si="2"/>
        <v>0.003156055439610484</v>
      </c>
      <c r="N12" s="4">
        <f t="shared" si="3"/>
        <v>-7.744075502959939E-05</v>
      </c>
      <c r="O12" s="5"/>
      <c r="P12" s="4">
        <f t="shared" si="5"/>
        <v>0.07727555535149255</v>
      </c>
      <c r="Q12" s="4">
        <f t="shared" si="6"/>
        <v>0.003078614684580927</v>
      </c>
    </row>
    <row r="13" spans="9:17" ht="12.75">
      <c r="I13" s="2">
        <v>40</v>
      </c>
      <c r="J13" s="4">
        <f t="shared" si="4"/>
        <v>0.6444458918737548</v>
      </c>
      <c r="K13" s="4">
        <f t="shared" si="0"/>
        <v>0.6029483531510883</v>
      </c>
      <c r="L13" s="4">
        <f t="shared" si="1"/>
        <v>0.03767077403684486</v>
      </c>
      <c r="M13" s="4">
        <f t="shared" si="2"/>
        <v>0.003871475126584238</v>
      </c>
      <c r="N13" s="4">
        <f t="shared" si="3"/>
        <v>-4.471044076258712E-05</v>
      </c>
      <c r="O13" s="5"/>
      <c r="P13" s="4">
        <f t="shared" si="5"/>
        <v>0.04149753872266648</v>
      </c>
      <c r="Q13" s="4">
        <f t="shared" si="6"/>
        <v>0.003826764685821625</v>
      </c>
    </row>
    <row r="14" spans="9:17" ht="12.75">
      <c r="I14" s="2">
        <v>45</v>
      </c>
      <c r="J14" s="4">
        <f t="shared" si="4"/>
        <v>0.5606788594526725</v>
      </c>
      <c r="K14" s="4">
        <f t="shared" si="0"/>
        <v>0.5565589216762682</v>
      </c>
      <c r="L14" s="4">
        <f t="shared" si="1"/>
        <v>1.3289022443695211E-17</v>
      </c>
      <c r="M14" s="4">
        <f t="shared" si="2"/>
        <v>0.004119937776404315</v>
      </c>
      <c r="N14" s="4">
        <f t="shared" si="3"/>
        <v>-1.643307822557008E-20</v>
      </c>
      <c r="O14" s="5"/>
      <c r="P14" s="4">
        <f t="shared" si="5"/>
        <v>0.004119937776404292</v>
      </c>
      <c r="Q14" s="4">
        <f t="shared" si="6"/>
        <v>0.004119937776404279</v>
      </c>
    </row>
    <row r="15" spans="9:17" ht="12.75">
      <c r="I15" s="2">
        <v>50</v>
      </c>
      <c r="J15" s="4">
        <f t="shared" si="4"/>
        <v>0.4721791522785286</v>
      </c>
      <c r="K15" s="4">
        <f t="shared" si="0"/>
        <v>0.5059337407480266</v>
      </c>
      <c r="L15" s="4">
        <f t="shared" si="1"/>
        <v>-0.03767077403684484</v>
      </c>
      <c r="M15" s="4">
        <f t="shared" si="2"/>
        <v>0.003871475126584239</v>
      </c>
      <c r="N15" s="4">
        <f t="shared" si="3"/>
        <v>4.471044076258709E-05</v>
      </c>
      <c r="O15" s="5"/>
      <c r="P15" s="4">
        <f t="shared" si="5"/>
        <v>-0.03375458846949797</v>
      </c>
      <c r="Q15" s="4">
        <f t="shared" si="6"/>
        <v>0.0039161855673468665</v>
      </c>
    </row>
    <row r="16" spans="9:17" ht="12.75">
      <c r="I16" s="2">
        <v>55</v>
      </c>
      <c r="J16" s="4">
        <f t="shared" si="4"/>
        <v>0.38049465408927596</v>
      </c>
      <c r="K16" s="4">
        <f t="shared" si="0"/>
        <v>0.45145809856154745</v>
      </c>
      <c r="L16" s="4">
        <f t="shared" si="1"/>
        <v>-0.07419694066691158</v>
      </c>
      <c r="M16" s="4">
        <f t="shared" si="2"/>
        <v>0.003156055439610484</v>
      </c>
      <c r="N16" s="4">
        <f t="shared" si="3"/>
        <v>7.744075502959938E-05</v>
      </c>
      <c r="O16" s="5"/>
      <c r="P16" s="4">
        <f t="shared" si="5"/>
        <v>-0.07096344447227149</v>
      </c>
      <c r="Q16" s="4">
        <f t="shared" si="6"/>
        <v>0.003233496194640098</v>
      </c>
    </row>
    <row r="17" spans="9:17" ht="12.75">
      <c r="I17" s="2">
        <v>60</v>
      </c>
      <c r="J17" s="4">
        <f t="shared" si="4"/>
        <v>0.28722730661661144</v>
      </c>
      <c r="K17" s="4">
        <f t="shared" si="0"/>
        <v>0.3935465876471619</v>
      </c>
      <c r="L17" s="4">
        <f t="shared" si="1"/>
        <v>-0.10846867080027778</v>
      </c>
      <c r="M17" s="4">
        <f t="shared" si="2"/>
        <v>0.002059968888202159</v>
      </c>
      <c r="N17" s="4">
        <f t="shared" si="3"/>
        <v>8.942088152517415E-05</v>
      </c>
      <c r="O17" s="5"/>
      <c r="P17" s="4">
        <f t="shared" si="5"/>
        <v>-0.10631928103055044</v>
      </c>
      <c r="Q17" s="4">
        <f t="shared" si="6"/>
        <v>0.002149389769727339</v>
      </c>
    </row>
    <row r="18" spans="9:17" ht="12.75">
      <c r="I18" s="2">
        <v>65</v>
      </c>
      <c r="J18" s="4">
        <f t="shared" si="4"/>
        <v>0.19398817475368463</v>
      </c>
      <c r="K18" s="4">
        <f t="shared" si="0"/>
        <v>0.3326399495708547</v>
      </c>
      <c r="L18" s="4">
        <f t="shared" si="1"/>
        <v>-0.13944463525917342</v>
      </c>
      <c r="M18" s="4">
        <f t="shared" si="2"/>
        <v>0.0007154196869737544</v>
      </c>
      <c r="N18" s="4">
        <f t="shared" si="3"/>
        <v>7.744075502959943E-05</v>
      </c>
      <c r="O18" s="5"/>
      <c r="P18" s="4">
        <f t="shared" si="5"/>
        <v>-0.13865177481717006</v>
      </c>
      <c r="Q18" s="4">
        <f t="shared" si="6"/>
        <v>0.0007928604420033569</v>
      </c>
    </row>
    <row r="19" spans="9:17" ht="12.75">
      <c r="I19" s="2">
        <v>70</v>
      </c>
      <c r="J19" s="4">
        <f t="shared" si="4"/>
        <v>0.10234736634050005</v>
      </c>
      <c r="K19" s="4">
        <f t="shared" si="0"/>
        <v>0.26920172062482034</v>
      </c>
      <c r="L19" s="4">
        <f t="shared" si="1"/>
        <v>-0.16618364503810912</v>
      </c>
      <c r="M19" s="4">
        <f t="shared" si="2"/>
        <v>-0.0007154196869737529</v>
      </c>
      <c r="N19" s="4">
        <f t="shared" si="3"/>
        <v>4.471044076258705E-05</v>
      </c>
      <c r="O19" s="5"/>
      <c r="P19" s="4">
        <f t="shared" si="5"/>
        <v>-0.16685435428432027</v>
      </c>
      <c r="Q19" s="4">
        <f t="shared" si="6"/>
        <v>-0.0006707092462111541</v>
      </c>
    </row>
    <row r="20" spans="9:17" ht="12.75">
      <c r="I20" s="2">
        <v>75</v>
      </c>
      <c r="J20" s="4">
        <f t="shared" si="4"/>
        <v>0.013781486292641741</v>
      </c>
      <c r="K20" s="4">
        <f t="shared" si="0"/>
        <v>0.2037147040363878</v>
      </c>
      <c r="L20" s="4">
        <f t="shared" si="1"/>
        <v>-0.1878732488555439</v>
      </c>
      <c r="M20" s="4">
        <f t="shared" si="2"/>
        <v>-0.002059968888202158</v>
      </c>
      <c r="N20" s="4">
        <f t="shared" si="3"/>
        <v>2.738846370928347E-20</v>
      </c>
      <c r="O20" s="5"/>
      <c r="P20" s="4">
        <f t="shared" si="5"/>
        <v>-0.18993321774374605</v>
      </c>
      <c r="Q20" s="4">
        <f t="shared" si="6"/>
        <v>-0.002059968888202146</v>
      </c>
    </row>
    <row r="21" spans="9:17" ht="12.75">
      <c r="I21" s="2">
        <v>80</v>
      </c>
      <c r="J21" s="4">
        <f t="shared" si="4"/>
        <v>-0.07037788941138991</v>
      </c>
      <c r="K21" s="4">
        <f t="shared" si="0"/>
        <v>0.13667729554393712</v>
      </c>
      <c r="L21" s="4">
        <f t="shared" si="1"/>
        <v>-0.20385441907495397</v>
      </c>
      <c r="M21" s="4">
        <f t="shared" si="2"/>
        <v>-0.003156055439610483</v>
      </c>
      <c r="N21" s="4">
        <f t="shared" si="3"/>
        <v>-4.471044076258701E-05</v>
      </c>
      <c r="O21" s="5"/>
      <c r="P21" s="4">
        <f t="shared" si="5"/>
        <v>-0.20705518495532704</v>
      </c>
      <c r="Q21" s="4">
        <f t="shared" si="6"/>
        <v>-0.0032007658803730743</v>
      </c>
    </row>
    <row r="22" spans="9:17" ht="12.75">
      <c r="I22" s="2">
        <v>85</v>
      </c>
      <c r="J22" s="4">
        <f t="shared" si="4"/>
        <v>-0.14899080150330934</v>
      </c>
      <c r="K22" s="4">
        <f t="shared" si="0"/>
        <v>0.06859969030438946</v>
      </c>
      <c r="L22" s="4">
        <f t="shared" si="1"/>
        <v>-0.213641575926085</v>
      </c>
      <c r="M22" s="4">
        <f t="shared" si="2"/>
        <v>-0.003871475126584239</v>
      </c>
      <c r="N22" s="4">
        <f t="shared" si="3"/>
        <v>-7.74407550295994E-05</v>
      </c>
      <c r="O22" s="5"/>
      <c r="P22" s="4">
        <f t="shared" si="5"/>
        <v>-0.2175904918076988</v>
      </c>
      <c r="Q22" s="4">
        <f t="shared" si="6"/>
        <v>-0.003948915881613807</v>
      </c>
    </row>
    <row r="23" spans="9:17" ht="12.75">
      <c r="I23" s="2">
        <v>90</v>
      </c>
      <c r="J23" s="4">
        <f t="shared" si="4"/>
        <v>-0.22114670025848507</v>
      </c>
      <c r="K23" s="4">
        <f t="shared" si="0"/>
        <v>4.821529937904801E-17</v>
      </c>
      <c r="L23" s="4">
        <f t="shared" si="1"/>
        <v>-0.21693734160055564</v>
      </c>
      <c r="M23" s="4">
        <f t="shared" si="2"/>
        <v>-0.004119937776404315</v>
      </c>
      <c r="N23" s="4">
        <f t="shared" si="3"/>
        <v>-8.942088152517415E-05</v>
      </c>
      <c r="O23" s="5"/>
      <c r="P23" s="4">
        <f t="shared" si="5"/>
        <v>-0.22114670025848512</v>
      </c>
      <c r="Q23" s="4">
        <f t="shared" si="6"/>
        <v>-0.004209358657929485</v>
      </c>
    </row>
    <row r="24" spans="9:17" ht="12.75">
      <c r="I24" s="2">
        <v>95</v>
      </c>
      <c r="J24" s="4">
        <f t="shared" si="4"/>
        <v>-0.28619018211208835</v>
      </c>
      <c r="K24" s="4">
        <f t="shared" si="0"/>
        <v>-0.06859969030438953</v>
      </c>
      <c r="L24" s="4">
        <f t="shared" si="1"/>
        <v>-0.213641575926085</v>
      </c>
      <c r="M24" s="4">
        <f t="shared" si="2"/>
        <v>-0.003871475126584238</v>
      </c>
      <c r="N24" s="4">
        <f t="shared" si="3"/>
        <v>-7.744075502959937E-05</v>
      </c>
      <c r="O24" s="5"/>
      <c r="P24" s="4">
        <f t="shared" si="5"/>
        <v>-0.21759049180769882</v>
      </c>
      <c r="Q24" s="4">
        <f t="shared" si="6"/>
        <v>-0.003948915881613835</v>
      </c>
    </row>
    <row r="25" spans="9:17" ht="12.75">
      <c r="I25" s="2">
        <v>100</v>
      </c>
      <c r="J25" s="4">
        <f t="shared" si="4"/>
        <v>-0.34373248049926414</v>
      </c>
      <c r="K25" s="4">
        <f t="shared" si="0"/>
        <v>-0.136677295543937</v>
      </c>
      <c r="L25" s="4">
        <f t="shared" si="1"/>
        <v>-0.20385441907495402</v>
      </c>
      <c r="M25" s="4">
        <f t="shared" si="2"/>
        <v>-0.0031560554396104844</v>
      </c>
      <c r="N25" s="4">
        <f t="shared" si="3"/>
        <v>-4.471044076258706E-05</v>
      </c>
      <c r="O25" s="5"/>
      <c r="P25" s="4">
        <f t="shared" si="5"/>
        <v>-0.20705518495532713</v>
      </c>
      <c r="Q25" s="4">
        <f t="shared" si="6"/>
        <v>-0.003200765880373102</v>
      </c>
    </row>
    <row r="26" spans="9:17" ht="12.75">
      <c r="I26" s="2">
        <v>105</v>
      </c>
      <c r="J26" s="4">
        <f t="shared" si="4"/>
        <v>-0.3936479217801339</v>
      </c>
      <c r="K26" s="4">
        <f t="shared" si="0"/>
        <v>-0.2037147040363879</v>
      </c>
      <c r="L26" s="4">
        <f t="shared" si="1"/>
        <v>-0.18787324885554388</v>
      </c>
      <c r="M26" s="4">
        <f t="shared" si="2"/>
        <v>-0.0020599688882021565</v>
      </c>
      <c r="N26" s="4">
        <f t="shared" si="3"/>
        <v>-3.8343849192996854E-20</v>
      </c>
      <c r="O26" s="5"/>
      <c r="P26" s="4">
        <f t="shared" si="5"/>
        <v>-0.18993321774374602</v>
      </c>
      <c r="Q26" s="4">
        <f t="shared" si="6"/>
        <v>-0.002059968888202146</v>
      </c>
    </row>
    <row r="27" spans="9:17" ht="12.75">
      <c r="I27" s="2">
        <v>110</v>
      </c>
      <c r="J27" s="4">
        <f t="shared" si="4"/>
        <v>-0.43605607490914056</v>
      </c>
      <c r="K27" s="4">
        <f t="shared" si="0"/>
        <v>-0.26920172062482023</v>
      </c>
      <c r="L27" s="4">
        <f t="shared" si="1"/>
        <v>-0.16618364503810915</v>
      </c>
      <c r="M27" s="4">
        <f t="shared" si="2"/>
        <v>-0.0007154196869737548</v>
      </c>
      <c r="N27" s="4">
        <f t="shared" si="3"/>
        <v>4.4710440762586996E-05</v>
      </c>
      <c r="O27" s="5"/>
      <c r="P27" s="4">
        <f t="shared" si="5"/>
        <v>-0.16685435428432033</v>
      </c>
      <c r="Q27" s="4">
        <f t="shared" si="6"/>
        <v>-0.0006707092462111819</v>
      </c>
    </row>
    <row r="28" spans="9:17" ht="12.75">
      <c r="I28" s="2">
        <v>115</v>
      </c>
      <c r="J28" s="4">
        <f t="shared" si="4"/>
        <v>-0.4712917243880247</v>
      </c>
      <c r="K28" s="4">
        <f t="shared" si="0"/>
        <v>-0.3326399495708546</v>
      </c>
      <c r="L28" s="4">
        <f t="shared" si="1"/>
        <v>-0.13944463525917344</v>
      </c>
      <c r="M28" s="4">
        <f t="shared" si="2"/>
        <v>0.0007154196869737524</v>
      </c>
      <c r="N28" s="4">
        <f t="shared" si="3"/>
        <v>7.744075502959939E-05</v>
      </c>
      <c r="O28" s="5"/>
      <c r="P28" s="4">
        <f t="shared" si="5"/>
        <v>-0.13865177481717011</v>
      </c>
      <c r="Q28" s="4">
        <f t="shared" si="6"/>
        <v>0.0007928604420033292</v>
      </c>
    </row>
    <row r="29" spans="9:17" ht="12.75">
      <c r="I29" s="2">
        <v>120</v>
      </c>
      <c r="J29" s="4">
        <f t="shared" si="4"/>
        <v>-0.4998658686777122</v>
      </c>
      <c r="K29" s="4">
        <f t="shared" si="0"/>
        <v>-0.3935465876471616</v>
      </c>
      <c r="L29" s="4">
        <f t="shared" si="1"/>
        <v>-0.1084686708002779</v>
      </c>
      <c r="M29" s="4">
        <f t="shared" si="2"/>
        <v>0.0020599688882021543</v>
      </c>
      <c r="N29" s="4">
        <f t="shared" si="3"/>
        <v>8.942088152517415E-05</v>
      </c>
      <c r="O29" s="5"/>
      <c r="P29" s="4">
        <f t="shared" si="5"/>
        <v>-0.1063192810305506</v>
      </c>
      <c r="Q29" s="4">
        <f t="shared" si="6"/>
        <v>0.0021493897697272973</v>
      </c>
    </row>
    <row r="30" spans="9:17" ht="12.75">
      <c r="I30" s="2">
        <v>125</v>
      </c>
      <c r="J30" s="4">
        <f t="shared" si="4"/>
        <v>-0.5224215430338188</v>
      </c>
      <c r="K30" s="4">
        <f t="shared" si="0"/>
        <v>-0.45145809856154717</v>
      </c>
      <c r="L30" s="4">
        <f t="shared" si="1"/>
        <v>-0.07419694066691174</v>
      </c>
      <c r="M30" s="4">
        <f t="shared" si="2"/>
        <v>0.003156055439610481</v>
      </c>
      <c r="N30" s="4">
        <f t="shared" si="3"/>
        <v>7.744075502959945E-05</v>
      </c>
      <c r="O30" s="5"/>
      <c r="P30" s="4">
        <f t="shared" si="5"/>
        <v>-0.07096344447227165</v>
      </c>
      <c r="Q30" s="4">
        <f t="shared" si="6"/>
        <v>0.003233496194640084</v>
      </c>
    </row>
    <row r="31" spans="9:17" ht="12.75">
      <c r="I31" s="2">
        <v>130</v>
      </c>
      <c r="J31" s="4">
        <f t="shared" si="4"/>
        <v>-0.5396883292175245</v>
      </c>
      <c r="K31" s="4">
        <f t="shared" si="0"/>
        <v>-0.5059337407480266</v>
      </c>
      <c r="L31" s="4">
        <f t="shared" si="1"/>
        <v>-0.037670774036844844</v>
      </c>
      <c r="M31" s="4">
        <f t="shared" si="2"/>
        <v>0.003871475126584239</v>
      </c>
      <c r="N31" s="4">
        <f t="shared" si="3"/>
        <v>4.4710440762587206E-05</v>
      </c>
      <c r="O31" s="5"/>
      <c r="P31" s="4">
        <f t="shared" si="5"/>
        <v>-0.03375458846949797</v>
      </c>
      <c r="Q31" s="4">
        <f t="shared" si="6"/>
        <v>0.0039161855673468735</v>
      </c>
    </row>
    <row r="32" spans="9:17" ht="12.75">
      <c r="I32" s="2">
        <v>135</v>
      </c>
      <c r="J32" s="4">
        <f t="shared" si="4"/>
        <v>-0.5524389838998638</v>
      </c>
      <c r="K32" s="4">
        <f t="shared" si="0"/>
        <v>-0.5565589216762681</v>
      </c>
      <c r="L32" s="4">
        <f t="shared" si="1"/>
        <v>-3.986706733108564E-17</v>
      </c>
      <c r="M32" s="4">
        <f t="shared" si="2"/>
        <v>0.004119937776404315</v>
      </c>
      <c r="N32" s="4">
        <f t="shared" si="3"/>
        <v>2.0814262915915286E-19</v>
      </c>
      <c r="O32" s="5"/>
      <c r="P32" s="4">
        <f t="shared" si="5"/>
        <v>0.004119937776404292</v>
      </c>
      <c r="Q32" s="4">
        <f t="shared" si="6"/>
        <v>0.004119937776404332</v>
      </c>
    </row>
    <row r="33" spans="9:17" ht="12.75">
      <c r="I33" s="2">
        <v>140</v>
      </c>
      <c r="J33" s="4">
        <f t="shared" si="4"/>
        <v>-0.5614508144284218</v>
      </c>
      <c r="K33" s="4">
        <f t="shared" si="0"/>
        <v>-0.6029483531510882</v>
      </c>
      <c r="L33" s="4">
        <f t="shared" si="1"/>
        <v>0.03767077403684477</v>
      </c>
      <c r="M33" s="4">
        <f t="shared" si="2"/>
        <v>0.0038714751265842397</v>
      </c>
      <c r="N33" s="4">
        <f t="shared" si="3"/>
        <v>-4.4710440762587124E-05</v>
      </c>
      <c r="O33" s="5"/>
      <c r="P33" s="4">
        <f t="shared" si="5"/>
        <v>0.04149753872266637</v>
      </c>
      <c r="Q33" s="4">
        <f t="shared" si="6"/>
        <v>0.0038267646858216042</v>
      </c>
    </row>
    <row r="34" spans="9:17" ht="12.75">
      <c r="I34" s="2">
        <v>145</v>
      </c>
      <c r="J34" s="4">
        <f t="shared" si="4"/>
        <v>-0.5674734282367664</v>
      </c>
      <c r="K34" s="4">
        <f t="shared" si="0"/>
        <v>-0.6447489835882588</v>
      </c>
      <c r="L34" s="4">
        <f t="shared" si="1"/>
        <v>0.07419694066691147</v>
      </c>
      <c r="M34" s="4">
        <f t="shared" si="2"/>
        <v>0.003156055439610487</v>
      </c>
      <c r="N34" s="4">
        <f t="shared" si="3"/>
        <v>-7.744075502959939E-05</v>
      </c>
      <c r="O34" s="5"/>
      <c r="P34" s="4">
        <f t="shared" si="5"/>
        <v>0.07727555535149244</v>
      </c>
      <c r="Q34" s="4">
        <f t="shared" si="6"/>
        <v>0.0030786146845809687</v>
      </c>
    </row>
    <row r="35" spans="9:17" ht="12.75">
      <c r="I35" s="2">
        <v>150</v>
      </c>
      <c r="J35" s="4">
        <f t="shared" si="4"/>
        <v>-0.5712034661432878</v>
      </c>
      <c r="K35" s="4">
        <f t="shared" si="0"/>
        <v>-0.6816426849502426</v>
      </c>
      <c r="L35" s="4">
        <f t="shared" si="1"/>
        <v>0.10846867080027785</v>
      </c>
      <c r="M35" s="4">
        <f t="shared" si="2"/>
        <v>0.002059968888202157</v>
      </c>
      <c r="N35" s="4">
        <f t="shared" si="3"/>
        <v>-8.942088152517415E-05</v>
      </c>
      <c r="O35" s="5"/>
      <c r="P35" s="4">
        <f t="shared" si="5"/>
        <v>0.11043921880695484</v>
      </c>
      <c r="Q35" s="4">
        <f t="shared" si="6"/>
        <v>0.001970548006676995</v>
      </c>
    </row>
    <row r="36" spans="9:17" ht="12.75">
      <c r="I36" s="2">
        <v>155</v>
      </c>
      <c r="J36" s="4">
        <f t="shared" si="4"/>
        <v>-0.5732660597015309</v>
      </c>
      <c r="K36" s="4">
        <f t="shared" si="0"/>
        <v>-0.7133486738926484</v>
      </c>
      <c r="L36" s="4">
        <f t="shared" si="1"/>
        <v>0.1394446352591734</v>
      </c>
      <c r="M36" s="4">
        <f t="shared" si="2"/>
        <v>0.0007154196869737555</v>
      </c>
      <c r="N36" s="4">
        <f t="shared" si="3"/>
        <v>-7.744075502959945E-05</v>
      </c>
      <c r="O36" s="5"/>
      <c r="P36" s="4">
        <f t="shared" si="5"/>
        <v>0.14008261419111756</v>
      </c>
      <c r="Q36" s="4">
        <f t="shared" si="6"/>
        <v>0.000637978931944172</v>
      </c>
    </row>
    <row r="37" spans="9:17" ht="12.75">
      <c r="I37" s="2">
        <v>160</v>
      </c>
      <c r="J37" s="4">
        <f t="shared" si="4"/>
        <v>-0.5742021337846526</v>
      </c>
      <c r="K37" s="4">
        <f aca="true" t="shared" si="7" ref="K37:K68">COS(I37*PI()/180)/$K$2</f>
        <v>-0.7396256486950253</v>
      </c>
      <c r="L37" s="4">
        <f aca="true" t="shared" si="8" ref="L37:L68">$I$2/$J$2*COS(2*I37*PI()/180)/$K$2</f>
        <v>0.1661836450381091</v>
      </c>
      <c r="M37" s="4">
        <f aca="true" t="shared" si="9" ref="M37:M68">-1/4*($I$2/$J$2)^3*COS(4*I37*PI()/180)/$K$2</f>
        <v>-0.0007154196869737519</v>
      </c>
      <c r="N37" s="4">
        <f aca="true" t="shared" si="10" ref="N37:N68">1/14*($I$2/$J$2)^5*COS(6*I37*PI()/180)/$K$2</f>
        <v>-4.471044076258721E-05</v>
      </c>
      <c r="O37" s="5"/>
      <c r="P37" s="4">
        <f t="shared" si="5"/>
        <v>0.16542351491037277</v>
      </c>
      <c r="Q37" s="4">
        <f t="shared" si="6"/>
        <v>-0.0007601301277363193</v>
      </c>
    </row>
    <row r="38" spans="9:17" ht="12.75">
      <c r="I38" s="2">
        <v>165</v>
      </c>
      <c r="J38" s="4">
        <f t="shared" si="4"/>
        <v>-0.5744603457453141</v>
      </c>
      <c r="K38" s="4">
        <f t="shared" si="7"/>
        <v>-0.7602736257126559</v>
      </c>
      <c r="L38" s="4">
        <f t="shared" si="8"/>
        <v>0.18787324885554385</v>
      </c>
      <c r="M38" s="4">
        <f t="shared" si="9"/>
        <v>-0.002059968888202154</v>
      </c>
      <c r="N38" s="4">
        <f t="shared" si="10"/>
        <v>9.858877432201897E-20</v>
      </c>
      <c r="O38" s="5"/>
      <c r="P38" s="4">
        <f t="shared" si="5"/>
        <v>0.18581327996734176</v>
      </c>
      <c r="Q38" s="4">
        <f t="shared" si="6"/>
        <v>-0.0020599688882020906</v>
      </c>
    </row>
    <row r="39" spans="9:17" ht="12.75">
      <c r="I39" s="2">
        <v>170</v>
      </c>
      <c r="J39" s="4">
        <f t="shared" si="4"/>
        <v>-0.5743923872967407</v>
      </c>
      <c r="K39" s="4">
        <f t="shared" si="7"/>
        <v>-0.7751354613728468</v>
      </c>
      <c r="L39" s="4">
        <f t="shared" si="8"/>
        <v>0.20385441907495402</v>
      </c>
      <c r="M39" s="4">
        <f t="shared" si="9"/>
        <v>-0.0031560554396104852</v>
      </c>
      <c r="N39" s="4">
        <f t="shared" si="10"/>
        <v>4.471044076258712E-05</v>
      </c>
      <c r="O39" s="5"/>
      <c r="P39" s="4">
        <f t="shared" si="5"/>
        <v>0.20074307407610614</v>
      </c>
      <c r="Q39" s="4">
        <f t="shared" si="6"/>
        <v>-0.0031113449988478814</v>
      </c>
    </row>
    <row r="40" spans="9:17" ht="12.75">
      <c r="I40" s="2">
        <v>175</v>
      </c>
      <c r="J40" s="4">
        <f t="shared" si="4"/>
        <v>-0.5742505065778717</v>
      </c>
      <c r="K40" s="4">
        <f t="shared" si="7"/>
        <v>-0.784098048132402</v>
      </c>
      <c r="L40" s="4">
        <f t="shared" si="8"/>
        <v>0.213641575926085</v>
      </c>
      <c r="M40" s="4">
        <f t="shared" si="9"/>
        <v>-0.0038714751265842362</v>
      </c>
      <c r="N40" s="4">
        <f t="shared" si="10"/>
        <v>7.744075502959939E-05</v>
      </c>
      <c r="O40" s="5"/>
      <c r="P40" s="4">
        <f t="shared" si="5"/>
        <v>0.20984754155453034</v>
      </c>
      <c r="Q40" s="4">
        <f t="shared" si="6"/>
        <v>-0.00379403437155465</v>
      </c>
    </row>
    <row r="41" spans="9:17" ht="12.75">
      <c r="I41" s="2">
        <v>180</v>
      </c>
      <c r="J41" s="4">
        <f t="shared" si="4"/>
        <v>-0.5741863505886471</v>
      </c>
      <c r="K41" s="4">
        <f t="shared" si="7"/>
        <v>-0.7870931752943237</v>
      </c>
      <c r="L41" s="4">
        <f t="shared" si="8"/>
        <v>0.21693734160055564</v>
      </c>
      <c r="M41" s="4">
        <f t="shared" si="9"/>
        <v>-0.004119937776404315</v>
      </c>
      <c r="N41" s="4">
        <f t="shared" si="10"/>
        <v>8.942088152517415E-05</v>
      </c>
      <c r="O41" s="5"/>
      <c r="P41" s="4">
        <f t="shared" si="5"/>
        <v>0.21290682470567657</v>
      </c>
      <c r="Q41" s="4">
        <f t="shared" si="6"/>
        <v>-0.0040305168948790715</v>
      </c>
    </row>
    <row r="42" spans="9:17" ht="12.75">
      <c r="I42" s="2">
        <v>185</v>
      </c>
      <c r="J42" s="4">
        <f t="shared" si="4"/>
        <v>-0.5742505065778717</v>
      </c>
      <c r="K42" s="4">
        <f t="shared" si="7"/>
        <v>-0.784098048132402</v>
      </c>
      <c r="L42" s="4">
        <f t="shared" si="8"/>
        <v>0.21364157592608501</v>
      </c>
      <c r="M42" s="4">
        <f t="shared" si="9"/>
        <v>-0.0038714751265842397</v>
      </c>
      <c r="N42" s="4">
        <f t="shared" si="10"/>
        <v>7.74407550295993E-05</v>
      </c>
      <c r="O42" s="5"/>
      <c r="P42" s="4">
        <f t="shared" si="5"/>
        <v>0.20984754155453034</v>
      </c>
      <c r="Q42" s="4">
        <f t="shared" si="6"/>
        <v>-0.0037940343715546776</v>
      </c>
    </row>
    <row r="43" spans="9:17" ht="12.75">
      <c r="I43" s="2">
        <v>190</v>
      </c>
      <c r="J43" s="4">
        <f t="shared" si="4"/>
        <v>-0.5743923872967408</v>
      </c>
      <c r="K43" s="4">
        <f t="shared" si="7"/>
        <v>-0.7751354613728468</v>
      </c>
      <c r="L43" s="4">
        <f t="shared" si="8"/>
        <v>0.20385441907495397</v>
      </c>
      <c r="M43" s="4">
        <f t="shared" si="9"/>
        <v>-0.003156055439610482</v>
      </c>
      <c r="N43" s="4">
        <f t="shared" si="10"/>
        <v>4.4710440762586955E-05</v>
      </c>
      <c r="O43" s="5"/>
      <c r="P43" s="4">
        <f t="shared" si="5"/>
        <v>0.20074307407610603</v>
      </c>
      <c r="Q43" s="4">
        <f t="shared" si="6"/>
        <v>-0.003111344998847937</v>
      </c>
    </row>
    <row r="44" spans="9:17" ht="12.75">
      <c r="I44" s="2">
        <v>195</v>
      </c>
      <c r="J44" s="4">
        <f t="shared" si="4"/>
        <v>-0.5744603457453143</v>
      </c>
      <c r="K44" s="4">
        <f t="shared" si="7"/>
        <v>-0.7602736257126561</v>
      </c>
      <c r="L44" s="4">
        <f t="shared" si="8"/>
        <v>0.18787324885554396</v>
      </c>
      <c r="M44" s="4">
        <f t="shared" si="9"/>
        <v>-0.0020599688882021634</v>
      </c>
      <c r="N44" s="4">
        <f t="shared" si="10"/>
        <v>-8.763338883830559E-20</v>
      </c>
      <c r="O44" s="5"/>
      <c r="P44" s="4">
        <f t="shared" si="5"/>
        <v>0.18581327996734176</v>
      </c>
      <c r="Q44" s="4">
        <f t="shared" si="6"/>
        <v>-0.0020599688882022016</v>
      </c>
    </row>
    <row r="45" spans="9:17" ht="12.75">
      <c r="I45" s="2">
        <v>200</v>
      </c>
      <c r="J45" s="4">
        <f t="shared" si="4"/>
        <v>-0.5742021337846525</v>
      </c>
      <c r="K45" s="4">
        <f t="shared" si="7"/>
        <v>-0.7396256486950253</v>
      </c>
      <c r="L45" s="4">
        <f t="shared" si="8"/>
        <v>0.16618364503810917</v>
      </c>
      <c r="M45" s="4">
        <f t="shared" si="9"/>
        <v>-0.0007154196869737559</v>
      </c>
      <c r="N45" s="4">
        <f t="shared" si="10"/>
        <v>-4.471044076258711E-05</v>
      </c>
      <c r="O45" s="5"/>
      <c r="P45" s="4">
        <f t="shared" si="5"/>
        <v>0.16542351491037288</v>
      </c>
      <c r="Q45" s="4">
        <f t="shared" si="6"/>
        <v>-0.0007601301277362915</v>
      </c>
    </row>
    <row r="46" spans="9:17" ht="12.75">
      <c r="I46" s="2">
        <v>205</v>
      </c>
      <c r="J46" s="4">
        <f t="shared" si="4"/>
        <v>-0.5732660597015309</v>
      </c>
      <c r="K46" s="4">
        <f t="shared" si="7"/>
        <v>-0.7133486738926486</v>
      </c>
      <c r="L46" s="4">
        <f t="shared" si="8"/>
        <v>0.13944463525917347</v>
      </c>
      <c r="M46" s="4">
        <f t="shared" si="9"/>
        <v>0.0007154196869737514</v>
      </c>
      <c r="N46" s="4">
        <f t="shared" si="10"/>
        <v>-7.744075502959939E-05</v>
      </c>
      <c r="O46" s="5"/>
      <c r="P46" s="4">
        <f t="shared" si="5"/>
        <v>0.14008261419111767</v>
      </c>
      <c r="Q46" s="4">
        <f t="shared" si="6"/>
        <v>0.0006379789319441997</v>
      </c>
    </row>
    <row r="47" spans="9:17" ht="12.75">
      <c r="I47" s="2">
        <v>210</v>
      </c>
      <c r="J47" s="4">
        <f t="shared" si="4"/>
        <v>-0.5712034661432878</v>
      </c>
      <c r="K47" s="4">
        <f t="shared" si="7"/>
        <v>-0.6816426849502425</v>
      </c>
      <c r="L47" s="4">
        <f t="shared" si="8"/>
        <v>0.10846867080027775</v>
      </c>
      <c r="M47" s="4">
        <f t="shared" si="9"/>
        <v>0.00205996888820216</v>
      </c>
      <c r="N47" s="4">
        <f t="shared" si="10"/>
        <v>-8.942088152517415E-05</v>
      </c>
      <c r="O47" s="5"/>
      <c r="P47" s="4">
        <f t="shared" si="5"/>
        <v>0.11043921880695473</v>
      </c>
      <c r="Q47" s="4">
        <f t="shared" si="6"/>
        <v>0.001970548006676981</v>
      </c>
    </row>
    <row r="48" spans="9:17" ht="12.75">
      <c r="I48" s="2">
        <v>215</v>
      </c>
      <c r="J48" s="4">
        <f t="shared" si="4"/>
        <v>-0.5674734282367665</v>
      </c>
      <c r="K48" s="4">
        <f t="shared" si="7"/>
        <v>-0.6447489835882592</v>
      </c>
      <c r="L48" s="4">
        <f t="shared" si="8"/>
        <v>0.07419694066691176</v>
      </c>
      <c r="M48" s="4">
        <f t="shared" si="9"/>
        <v>0.0031560554396104796</v>
      </c>
      <c r="N48" s="4">
        <f t="shared" si="10"/>
        <v>-7.744075502959946E-05</v>
      </c>
      <c r="O48" s="5"/>
      <c r="P48" s="4">
        <f t="shared" si="5"/>
        <v>0.07727555535149266</v>
      </c>
      <c r="Q48" s="4">
        <f t="shared" si="6"/>
        <v>0.0030786146845808993</v>
      </c>
    </row>
    <row r="49" spans="9:17" ht="12.75">
      <c r="I49" s="2">
        <v>220</v>
      </c>
      <c r="J49" s="4">
        <f t="shared" si="4"/>
        <v>-0.5614508144284218</v>
      </c>
      <c r="K49" s="4">
        <f t="shared" si="7"/>
        <v>-0.6029483531510883</v>
      </c>
      <c r="L49" s="4">
        <f t="shared" si="8"/>
        <v>0.037670774036844865</v>
      </c>
      <c r="M49" s="4">
        <f t="shared" si="9"/>
        <v>0.003871475126584238</v>
      </c>
      <c r="N49" s="4">
        <f t="shared" si="10"/>
        <v>-4.471044076258724E-05</v>
      </c>
      <c r="O49" s="5"/>
      <c r="P49" s="4">
        <f t="shared" si="5"/>
        <v>0.04149753872266648</v>
      </c>
      <c r="Q49" s="4">
        <f t="shared" si="6"/>
        <v>0.003826764685821618</v>
      </c>
    </row>
    <row r="50" spans="9:17" ht="12.75">
      <c r="I50" s="2">
        <v>225</v>
      </c>
      <c r="J50" s="4">
        <f t="shared" si="4"/>
        <v>-0.5524389838998639</v>
      </c>
      <c r="K50" s="4">
        <f t="shared" si="7"/>
        <v>-0.5565589216762683</v>
      </c>
      <c r="L50" s="4">
        <f t="shared" si="8"/>
        <v>6.644511221847606E-17</v>
      </c>
      <c r="M50" s="4">
        <f t="shared" si="9"/>
        <v>0.004119937776404315</v>
      </c>
      <c r="N50" s="4">
        <f t="shared" si="10"/>
        <v>7.66780033545922E-20</v>
      </c>
      <c r="O50" s="5"/>
      <c r="P50" s="4">
        <f t="shared" si="5"/>
        <v>0.004119937776404403</v>
      </c>
      <c r="Q50" s="4">
        <f t="shared" si="6"/>
        <v>0.004119937776404336</v>
      </c>
    </row>
    <row r="51" spans="9:17" ht="12.75">
      <c r="I51" s="2">
        <v>230</v>
      </c>
      <c r="J51" s="4">
        <f t="shared" si="4"/>
        <v>-0.5396883292175245</v>
      </c>
      <c r="K51" s="4">
        <f t="shared" si="7"/>
        <v>-0.5059337407480267</v>
      </c>
      <c r="L51" s="4">
        <f t="shared" si="8"/>
        <v>-0.03767077403684474</v>
      </c>
      <c r="M51" s="4">
        <f t="shared" si="9"/>
        <v>0.00387147512658424</v>
      </c>
      <c r="N51" s="4">
        <f t="shared" si="10"/>
        <v>4.47104407625871E-05</v>
      </c>
      <c r="O51" s="5"/>
      <c r="P51" s="4">
        <f t="shared" si="5"/>
        <v>-0.03375458846949786</v>
      </c>
      <c r="Q51" s="4">
        <f t="shared" si="6"/>
        <v>0.00391618556734688</v>
      </c>
    </row>
    <row r="52" spans="9:17" ht="12.75">
      <c r="I52" s="2">
        <v>235</v>
      </c>
      <c r="J52" s="4">
        <f t="shared" si="4"/>
        <v>-0.5224215430338189</v>
      </c>
      <c r="K52" s="4">
        <f t="shared" si="7"/>
        <v>-0.4514580985615476</v>
      </c>
      <c r="L52" s="4">
        <f t="shared" si="8"/>
        <v>-0.07419694066691145</v>
      </c>
      <c r="M52" s="4">
        <f t="shared" si="9"/>
        <v>0.003156055439610488</v>
      </c>
      <c r="N52" s="4">
        <f t="shared" si="10"/>
        <v>7.744075502959939E-05</v>
      </c>
      <c r="O52" s="5"/>
      <c r="P52" s="4">
        <f t="shared" si="5"/>
        <v>-0.07096344447227132</v>
      </c>
      <c r="Q52" s="4">
        <f t="shared" si="6"/>
        <v>0.003233496194640126</v>
      </c>
    </row>
    <row r="53" spans="9:17" ht="12.75">
      <c r="I53" s="2">
        <v>240</v>
      </c>
      <c r="J53" s="4">
        <f t="shared" si="4"/>
        <v>-0.49986586867771243</v>
      </c>
      <c r="K53" s="4">
        <f t="shared" si="7"/>
        <v>-0.39354658764716216</v>
      </c>
      <c r="L53" s="4">
        <f t="shared" si="8"/>
        <v>-0.10846867080027764</v>
      </c>
      <c r="M53" s="4">
        <f t="shared" si="9"/>
        <v>0.002059968888202164</v>
      </c>
      <c r="N53" s="4">
        <f t="shared" si="10"/>
        <v>8.942088152517415E-05</v>
      </c>
      <c r="O53" s="5"/>
      <c r="P53" s="4">
        <f t="shared" si="5"/>
        <v>-0.10631928103055027</v>
      </c>
      <c r="Q53" s="4">
        <f t="shared" si="6"/>
        <v>0.0021493897697273667</v>
      </c>
    </row>
    <row r="54" spans="9:17" ht="12.75">
      <c r="I54" s="2">
        <v>245</v>
      </c>
      <c r="J54" s="4">
        <f t="shared" si="4"/>
        <v>-0.47129172438802497</v>
      </c>
      <c r="K54" s="4">
        <f t="shared" si="7"/>
        <v>-0.3326399495708551</v>
      </c>
      <c r="L54" s="4">
        <f t="shared" si="8"/>
        <v>-0.13944463525917322</v>
      </c>
      <c r="M54" s="4">
        <f t="shared" si="9"/>
        <v>0.0007154196869737636</v>
      </c>
      <c r="N54" s="4">
        <f t="shared" si="10"/>
        <v>7.744075502959947E-05</v>
      </c>
      <c r="O54" s="5"/>
      <c r="P54" s="4">
        <f t="shared" si="5"/>
        <v>-0.1386517748171699</v>
      </c>
      <c r="Q54" s="4">
        <f t="shared" si="6"/>
        <v>0.0007928604420033292</v>
      </c>
    </row>
    <row r="55" spans="9:17" ht="12.75">
      <c r="I55" s="2">
        <v>250</v>
      </c>
      <c r="J55" s="4">
        <f t="shared" si="4"/>
        <v>-0.4360560749091409</v>
      </c>
      <c r="K55" s="4">
        <f t="shared" si="7"/>
        <v>-0.2692017206248208</v>
      </c>
      <c r="L55" s="4">
        <f t="shared" si="8"/>
        <v>-0.16618364503810898</v>
      </c>
      <c r="M55" s="4">
        <f t="shared" si="9"/>
        <v>-0.0007154196869737436</v>
      </c>
      <c r="N55" s="4">
        <f t="shared" si="10"/>
        <v>4.4710440762587246E-05</v>
      </c>
      <c r="O55" s="5"/>
      <c r="P55" s="4">
        <f t="shared" si="5"/>
        <v>-0.1668543542843201</v>
      </c>
      <c r="Q55" s="4">
        <f t="shared" si="6"/>
        <v>-0.0006707092462111264</v>
      </c>
    </row>
    <row r="56" spans="9:17" ht="12.75">
      <c r="I56" s="2">
        <v>255</v>
      </c>
      <c r="J56" s="4">
        <f t="shared" si="4"/>
        <v>-0.3936479217801338</v>
      </c>
      <c r="K56" s="4">
        <f t="shared" si="7"/>
        <v>-0.20371470403638772</v>
      </c>
      <c r="L56" s="4">
        <f t="shared" si="8"/>
        <v>-0.18787324885554393</v>
      </c>
      <c r="M56" s="4">
        <f t="shared" si="9"/>
        <v>-0.002059968888202159</v>
      </c>
      <c r="N56" s="4">
        <f t="shared" si="10"/>
        <v>2.519641710940064E-19</v>
      </c>
      <c r="O56" s="5"/>
      <c r="P56" s="4">
        <f t="shared" si="5"/>
        <v>-0.18993321774374608</v>
      </c>
      <c r="Q56" s="4">
        <f t="shared" si="6"/>
        <v>-0.002059968888202146</v>
      </c>
    </row>
    <row r="57" spans="9:17" ht="12.75">
      <c r="I57" s="2">
        <v>260</v>
      </c>
      <c r="J57" s="4">
        <f t="shared" si="4"/>
        <v>-0.3437324804992642</v>
      </c>
      <c r="K57" s="4">
        <f t="shared" si="7"/>
        <v>-0.13667729554393704</v>
      </c>
      <c r="L57" s="4">
        <f t="shared" si="8"/>
        <v>-0.20385441907495402</v>
      </c>
      <c r="M57" s="4">
        <f t="shared" si="9"/>
        <v>-0.0031560554396104844</v>
      </c>
      <c r="N57" s="4">
        <f t="shared" si="10"/>
        <v>-4.471044076258681E-05</v>
      </c>
      <c r="O57" s="5"/>
      <c r="P57" s="4">
        <f t="shared" si="5"/>
        <v>-0.20705518495532715</v>
      </c>
      <c r="Q57" s="4">
        <f t="shared" si="6"/>
        <v>-0.00320076588037313</v>
      </c>
    </row>
    <row r="58" spans="9:17" ht="12.75">
      <c r="I58" s="2">
        <v>265</v>
      </c>
      <c r="J58" s="4">
        <f t="shared" si="4"/>
        <v>-0.28619018211208835</v>
      </c>
      <c r="K58" s="4">
        <f t="shared" si="7"/>
        <v>-0.06859969030438955</v>
      </c>
      <c r="L58" s="4">
        <f t="shared" si="8"/>
        <v>-0.213641575926085</v>
      </c>
      <c r="M58" s="4">
        <f t="shared" si="9"/>
        <v>-0.003871475126584238</v>
      </c>
      <c r="N58" s="4">
        <f t="shared" si="10"/>
        <v>-7.744075502959922E-05</v>
      </c>
      <c r="O58" s="5"/>
      <c r="P58" s="4">
        <f t="shared" si="5"/>
        <v>-0.2175904918076988</v>
      </c>
      <c r="Q58" s="4">
        <f t="shared" si="6"/>
        <v>-0.003948915881613807</v>
      </c>
    </row>
    <row r="59" spans="9:17" ht="12.75">
      <c r="I59" s="2">
        <v>270</v>
      </c>
      <c r="J59" s="4">
        <f t="shared" si="4"/>
        <v>-0.22114670025848526</v>
      </c>
      <c r="K59" s="4">
        <f t="shared" si="7"/>
        <v>-1.4464589813714404E-16</v>
      </c>
      <c r="L59" s="4">
        <f t="shared" si="8"/>
        <v>-0.21693734160055564</v>
      </c>
      <c r="M59" s="4">
        <f t="shared" si="9"/>
        <v>-0.004119937776404315</v>
      </c>
      <c r="N59" s="4">
        <f t="shared" si="10"/>
        <v>-8.942088152517415E-05</v>
      </c>
      <c r="O59" s="5"/>
      <c r="P59" s="4">
        <f t="shared" si="5"/>
        <v>-0.22114670025848512</v>
      </c>
      <c r="Q59" s="4">
        <f t="shared" si="6"/>
        <v>-0.004209358657929485</v>
      </c>
    </row>
    <row r="60" spans="9:17" ht="12.75">
      <c r="I60" s="2">
        <v>275</v>
      </c>
      <c r="J60" s="4">
        <f t="shared" si="4"/>
        <v>-0.14899080150330957</v>
      </c>
      <c r="K60" s="4">
        <f t="shared" si="7"/>
        <v>0.06859969030438927</v>
      </c>
      <c r="L60" s="4">
        <f t="shared" si="8"/>
        <v>-0.21364157592608501</v>
      </c>
      <c r="M60" s="4">
        <f t="shared" si="9"/>
        <v>-0.00387147512658424</v>
      </c>
      <c r="N60" s="4">
        <f t="shared" si="10"/>
        <v>-7.744075502959931E-05</v>
      </c>
      <c r="O60" s="5"/>
      <c r="P60" s="4">
        <f t="shared" si="5"/>
        <v>-0.21759049180769885</v>
      </c>
      <c r="Q60" s="4">
        <f t="shared" si="6"/>
        <v>-0.003948915881613835</v>
      </c>
    </row>
    <row r="61" spans="9:17" ht="12.75">
      <c r="I61" s="2">
        <v>280</v>
      </c>
      <c r="J61" s="4">
        <f t="shared" si="4"/>
        <v>-0.07037788941139037</v>
      </c>
      <c r="K61" s="4">
        <f t="shared" si="7"/>
        <v>0.13667729554393676</v>
      </c>
      <c r="L61" s="4">
        <f t="shared" si="8"/>
        <v>-0.20385441907495405</v>
      </c>
      <c r="M61" s="4">
        <f t="shared" si="9"/>
        <v>-0.003156055439610488</v>
      </c>
      <c r="N61" s="4">
        <f t="shared" si="10"/>
        <v>-4.471044076258698E-05</v>
      </c>
      <c r="O61" s="5"/>
      <c r="P61" s="4">
        <f t="shared" si="5"/>
        <v>-0.20705518495532713</v>
      </c>
      <c r="Q61" s="4">
        <f t="shared" si="6"/>
        <v>-0.0032007658803730743</v>
      </c>
    </row>
    <row r="62" spans="9:17" ht="12.75">
      <c r="I62" s="2">
        <v>285</v>
      </c>
      <c r="J62" s="4">
        <f t="shared" si="4"/>
        <v>0.013781486292642137</v>
      </c>
      <c r="K62" s="4">
        <f t="shared" si="7"/>
        <v>0.2037147040363881</v>
      </c>
      <c r="L62" s="4">
        <f t="shared" si="8"/>
        <v>-0.18787324885554382</v>
      </c>
      <c r="M62" s="4">
        <f t="shared" si="9"/>
        <v>-0.0020599688882021517</v>
      </c>
      <c r="N62" s="4">
        <f t="shared" si="10"/>
        <v>5.476723238716542E-20</v>
      </c>
      <c r="O62" s="5"/>
      <c r="P62" s="4">
        <f t="shared" si="5"/>
        <v>-0.18993321774374597</v>
      </c>
      <c r="Q62" s="4">
        <f t="shared" si="6"/>
        <v>-0.002059968888202146</v>
      </c>
    </row>
    <row r="63" spans="9:17" ht="12.75">
      <c r="I63" s="2">
        <v>290</v>
      </c>
      <c r="J63" s="4">
        <f t="shared" si="4"/>
        <v>0.10234736634049935</v>
      </c>
      <c r="K63" s="4">
        <f t="shared" si="7"/>
        <v>0.26920172062481984</v>
      </c>
      <c r="L63" s="4">
        <f t="shared" si="8"/>
        <v>-0.1661836450381093</v>
      </c>
      <c r="M63" s="4">
        <f t="shared" si="9"/>
        <v>-0.000715419686973764</v>
      </c>
      <c r="N63" s="4">
        <f t="shared" si="10"/>
        <v>4.471044076258708E-05</v>
      </c>
      <c r="O63" s="5"/>
      <c r="P63" s="4">
        <f t="shared" si="5"/>
        <v>-0.1668543542843205</v>
      </c>
      <c r="Q63" s="4">
        <f t="shared" si="6"/>
        <v>-0.0006707092462111819</v>
      </c>
    </row>
    <row r="64" spans="9:17" ht="12.75">
      <c r="I64" s="2">
        <v>295</v>
      </c>
      <c r="J64" s="4">
        <f t="shared" si="4"/>
        <v>0.1939881747536848</v>
      </c>
      <c r="K64" s="4">
        <f t="shared" si="7"/>
        <v>0.3326399495708548</v>
      </c>
      <c r="L64" s="4">
        <f t="shared" si="8"/>
        <v>-0.13944463525917336</v>
      </c>
      <c r="M64" s="4">
        <f t="shared" si="9"/>
        <v>0.0007154196869737576</v>
      </c>
      <c r="N64" s="4">
        <f t="shared" si="10"/>
        <v>7.744075502959938E-05</v>
      </c>
      <c r="O64" s="5"/>
      <c r="P64" s="4">
        <f t="shared" si="5"/>
        <v>-0.13865177481717</v>
      </c>
      <c r="Q64" s="4">
        <f t="shared" si="6"/>
        <v>0.0007928604420033569</v>
      </c>
    </row>
    <row r="65" spans="9:17" ht="12.75">
      <c r="I65" s="2">
        <v>300</v>
      </c>
      <c r="J65" s="4">
        <f t="shared" si="4"/>
        <v>0.28722730661661144</v>
      </c>
      <c r="K65" s="4">
        <f t="shared" si="7"/>
        <v>0.3935465876471619</v>
      </c>
      <c r="L65" s="4">
        <f t="shared" si="8"/>
        <v>-0.10846867080027778</v>
      </c>
      <c r="M65" s="4">
        <f t="shared" si="9"/>
        <v>0.002059968888202159</v>
      </c>
      <c r="N65" s="4">
        <f t="shared" si="10"/>
        <v>8.942088152517415E-05</v>
      </c>
      <c r="O65" s="5"/>
      <c r="P65" s="4">
        <f t="shared" si="5"/>
        <v>-0.10631928103055044</v>
      </c>
      <c r="Q65" s="4">
        <f t="shared" si="6"/>
        <v>0.002149389769727339</v>
      </c>
    </row>
    <row r="66" spans="9:17" ht="12.75">
      <c r="I66" s="2">
        <v>305</v>
      </c>
      <c r="J66" s="4">
        <f t="shared" si="4"/>
        <v>0.38049465408927585</v>
      </c>
      <c r="K66" s="4">
        <f t="shared" si="7"/>
        <v>0.45145809856154734</v>
      </c>
      <c r="L66" s="4">
        <f t="shared" si="8"/>
        <v>-0.0741969406669116</v>
      </c>
      <c r="M66" s="4">
        <f t="shared" si="9"/>
        <v>0.003156055439610484</v>
      </c>
      <c r="N66" s="4">
        <f t="shared" si="10"/>
        <v>7.744075502959949E-05</v>
      </c>
      <c r="O66" s="5"/>
      <c r="P66" s="4">
        <f t="shared" si="5"/>
        <v>-0.07096344447227149</v>
      </c>
      <c r="Q66" s="4">
        <f t="shared" si="6"/>
        <v>0.003233496194640112</v>
      </c>
    </row>
    <row r="67" spans="9:17" ht="12.75">
      <c r="I67" s="2">
        <v>310</v>
      </c>
      <c r="J67" s="4">
        <f t="shared" si="4"/>
        <v>0.4721791522785285</v>
      </c>
      <c r="K67" s="4">
        <f t="shared" si="7"/>
        <v>0.5059337407480266</v>
      </c>
      <c r="L67" s="4">
        <f t="shared" si="8"/>
        <v>-0.0376707740368449</v>
      </c>
      <c r="M67" s="4">
        <f t="shared" si="9"/>
        <v>0.003871475126584238</v>
      </c>
      <c r="N67" s="4">
        <f t="shared" si="10"/>
        <v>4.4710440762587267E-05</v>
      </c>
      <c r="O67" s="5"/>
      <c r="P67" s="4">
        <f t="shared" si="5"/>
        <v>-0.033754588469498026</v>
      </c>
      <c r="Q67" s="4">
        <f t="shared" si="6"/>
        <v>0.0039161855673468735</v>
      </c>
    </row>
    <row r="68" spans="9:17" ht="12.75">
      <c r="I68" s="2">
        <v>315</v>
      </c>
      <c r="J68" s="4">
        <f t="shared" si="4"/>
        <v>0.5606788594526723</v>
      </c>
      <c r="K68" s="4">
        <f t="shared" si="7"/>
        <v>0.5565589216762681</v>
      </c>
      <c r="L68" s="4">
        <f t="shared" si="8"/>
        <v>-9.302315710586648E-17</v>
      </c>
      <c r="M68" s="4">
        <f t="shared" si="9"/>
        <v>0.004119937776404315</v>
      </c>
      <c r="N68" s="4">
        <f t="shared" si="10"/>
        <v>5.915617310263184E-19</v>
      </c>
      <c r="O68" s="5"/>
      <c r="P68" s="4">
        <f t="shared" si="5"/>
        <v>0.004119937776404181</v>
      </c>
      <c r="Q68" s="4">
        <f t="shared" si="6"/>
        <v>0.004119937776404274</v>
      </c>
    </row>
    <row r="69" spans="9:17" ht="12.75">
      <c r="I69" s="2">
        <v>320</v>
      </c>
      <c r="J69" s="4">
        <f t="shared" si="4"/>
        <v>0.6444458918737545</v>
      </c>
      <c r="K69" s="4">
        <f aca="true" t="shared" si="11" ref="K69:K77">COS(I69*PI()/180)/$K$2</f>
        <v>0.6029483531510881</v>
      </c>
      <c r="L69" s="4">
        <f aca="true" t="shared" si="12" ref="L69:L77">$I$2/$J$2*COS(2*I69*PI()/180)/$K$2</f>
        <v>0.03767077403684471</v>
      </c>
      <c r="M69" s="4">
        <f aca="true" t="shared" si="13" ref="M69:M77">-1/4*($I$2/$J$2)^3*COS(4*I69*PI()/180)/$K$2</f>
        <v>0.003871475126584241</v>
      </c>
      <c r="N69" s="4">
        <f aca="true" t="shared" si="14" ref="N69:N77">1/14*($I$2/$J$2)^5*COS(6*I69*PI()/180)/$K$2</f>
        <v>-4.471044076258679E-05</v>
      </c>
      <c r="O69" s="5"/>
      <c r="P69" s="4">
        <f t="shared" si="5"/>
        <v>0.04149753872266637</v>
      </c>
      <c r="Q69" s="4">
        <f t="shared" si="6"/>
        <v>0.0038267646858216597</v>
      </c>
    </row>
    <row r="70" spans="9:17" ht="12.75">
      <c r="I70" s="2">
        <v>325</v>
      </c>
      <c r="J70" s="4">
        <f aca="true" t="shared" si="15" ref="J70:J77">(SUM(K70:N70))</f>
        <v>0.7220245389397512</v>
      </c>
      <c r="K70" s="4">
        <f t="shared" si="11"/>
        <v>0.6447489835882588</v>
      </c>
      <c r="L70" s="4">
        <f t="shared" si="12"/>
        <v>0.07419694066691143</v>
      </c>
      <c r="M70" s="4">
        <f t="shared" si="13"/>
        <v>0.0031560554396104887</v>
      </c>
      <c r="N70" s="4">
        <f t="shared" si="14"/>
        <v>-7.744075502959937E-05</v>
      </c>
      <c r="O70" s="5"/>
      <c r="P70" s="4">
        <f aca="true" t="shared" si="16" ref="P70:P77">(J70-K70)</f>
        <v>0.07727555535149233</v>
      </c>
      <c r="Q70" s="4">
        <f aca="true" t="shared" si="17" ref="Q70:Q77">(J70-K70-L70)</f>
        <v>0.0030786146845808993</v>
      </c>
    </row>
    <row r="71" spans="9:17" ht="12.75">
      <c r="I71" s="2">
        <v>330</v>
      </c>
      <c r="J71" s="4">
        <f t="shared" si="15"/>
        <v>0.792081903757197</v>
      </c>
      <c r="K71" s="4">
        <f t="shared" si="11"/>
        <v>0.6816426849502424</v>
      </c>
      <c r="L71" s="4">
        <f t="shared" si="12"/>
        <v>0.10846867080027763</v>
      </c>
      <c r="M71" s="4">
        <f t="shared" si="13"/>
        <v>0.0020599688882021647</v>
      </c>
      <c r="N71" s="4">
        <f t="shared" si="14"/>
        <v>-8.942088152517415E-05</v>
      </c>
      <c r="O71" s="5"/>
      <c r="P71" s="4">
        <f t="shared" si="16"/>
        <v>0.11043921880695462</v>
      </c>
      <c r="Q71" s="4">
        <f t="shared" si="17"/>
        <v>0.001970548006676995</v>
      </c>
    </row>
    <row r="72" spans="9:17" ht="12.75">
      <c r="I72" s="2">
        <v>335</v>
      </c>
      <c r="J72" s="4">
        <f t="shared" si="15"/>
        <v>0.8534312880837656</v>
      </c>
      <c r="K72" s="4">
        <f t="shared" si="11"/>
        <v>0.7133486738926482</v>
      </c>
      <c r="L72" s="4">
        <f t="shared" si="12"/>
        <v>0.1394446352591732</v>
      </c>
      <c r="M72" s="4">
        <f t="shared" si="13"/>
        <v>0.0007154196869737646</v>
      </c>
      <c r="N72" s="4">
        <f t="shared" si="14"/>
        <v>-7.744075502959949E-05</v>
      </c>
      <c r="O72" s="5"/>
      <c r="P72" s="4">
        <f t="shared" si="16"/>
        <v>0.14008261419111734</v>
      </c>
      <c r="Q72" s="4">
        <f t="shared" si="17"/>
        <v>0.0006379789319441442</v>
      </c>
    </row>
    <row r="73" spans="9:17" ht="12.75">
      <c r="I73" s="2">
        <v>340</v>
      </c>
      <c r="J73" s="4">
        <f t="shared" si="15"/>
        <v>0.9050491636053982</v>
      </c>
      <c r="K73" s="4">
        <f t="shared" si="11"/>
        <v>0.7396256486950253</v>
      </c>
      <c r="L73" s="4">
        <f t="shared" si="12"/>
        <v>0.1661836450381092</v>
      </c>
      <c r="M73" s="4">
        <f t="shared" si="13"/>
        <v>-0.0007154196869737572</v>
      </c>
      <c r="N73" s="4">
        <f t="shared" si="14"/>
        <v>-4.4710440762587E-05</v>
      </c>
      <c r="O73" s="5"/>
      <c r="P73" s="4">
        <f t="shared" si="16"/>
        <v>0.16542351491037288</v>
      </c>
      <c r="Q73" s="4">
        <f t="shared" si="17"/>
        <v>-0.0007601301277363193</v>
      </c>
    </row>
    <row r="74" spans="9:17" ht="12.75">
      <c r="I74" s="2">
        <v>345</v>
      </c>
      <c r="J74" s="4">
        <f t="shared" si="15"/>
        <v>0.9460869056799978</v>
      </c>
      <c r="K74" s="4">
        <f t="shared" si="11"/>
        <v>0.760273625712656</v>
      </c>
      <c r="L74" s="4">
        <f t="shared" si="12"/>
        <v>0.1878732488555439</v>
      </c>
      <c r="M74" s="4">
        <f t="shared" si="13"/>
        <v>-0.0020599688882021587</v>
      </c>
      <c r="N74" s="4">
        <f t="shared" si="14"/>
        <v>-2.8483032754514657E-19</v>
      </c>
      <c r="O74" s="5"/>
      <c r="P74" s="4">
        <f t="shared" si="16"/>
        <v>0.18581327996734176</v>
      </c>
      <c r="Q74" s="4">
        <f t="shared" si="17"/>
        <v>-0.002059968888202146</v>
      </c>
    </row>
    <row r="75" spans="9:17" ht="12.75">
      <c r="I75" s="2">
        <v>350</v>
      </c>
      <c r="J75" s="4">
        <f t="shared" si="15"/>
        <v>0.9758785354489526</v>
      </c>
      <c r="K75" s="4">
        <f t="shared" si="11"/>
        <v>0.7751354613728467</v>
      </c>
      <c r="L75" s="4">
        <f t="shared" si="12"/>
        <v>0.20385441907495389</v>
      </c>
      <c r="M75" s="4">
        <f t="shared" si="13"/>
        <v>-0.0031560554396104744</v>
      </c>
      <c r="N75" s="4">
        <f t="shared" si="14"/>
        <v>4.4710440762587056E-05</v>
      </c>
      <c r="O75" s="5"/>
      <c r="P75" s="4">
        <f t="shared" si="16"/>
        <v>0.20074307407610592</v>
      </c>
      <c r="Q75" s="4">
        <f t="shared" si="17"/>
        <v>-0.0031113449988479647</v>
      </c>
    </row>
    <row r="76" spans="9:17" ht="12.75">
      <c r="I76" s="2">
        <v>355</v>
      </c>
      <c r="J76" s="4">
        <f t="shared" si="15"/>
        <v>0.9939455896869324</v>
      </c>
      <c r="K76" s="4">
        <f t="shared" si="11"/>
        <v>0.784098048132402</v>
      </c>
      <c r="L76" s="4">
        <f t="shared" si="12"/>
        <v>0.213641575926085</v>
      </c>
      <c r="M76" s="4">
        <f t="shared" si="13"/>
        <v>-0.003871475126584238</v>
      </c>
      <c r="N76" s="4">
        <f t="shared" si="14"/>
        <v>7.74407550295992E-05</v>
      </c>
      <c r="O76" s="5"/>
      <c r="P76" s="4">
        <f t="shared" si="16"/>
        <v>0.20984754155453034</v>
      </c>
      <c r="Q76" s="4">
        <f t="shared" si="17"/>
        <v>-0.00379403437155465</v>
      </c>
    </row>
    <row r="77" spans="9:17" ht="12.75">
      <c r="I77" s="2">
        <v>360</v>
      </c>
      <c r="J77" s="4">
        <f t="shared" si="15"/>
        <v>1.0000000000000002</v>
      </c>
      <c r="K77" s="4">
        <f t="shared" si="11"/>
        <v>0.7870931752943237</v>
      </c>
      <c r="L77" s="4">
        <f t="shared" si="12"/>
        <v>0.21693734160055564</v>
      </c>
      <c r="M77" s="4">
        <f t="shared" si="13"/>
        <v>-0.004119937776404315</v>
      </c>
      <c r="N77" s="4">
        <f t="shared" si="14"/>
        <v>8.942088152517415E-05</v>
      </c>
      <c r="O77" s="5"/>
      <c r="P77" s="4">
        <f t="shared" si="16"/>
        <v>0.21290682470567657</v>
      </c>
      <c r="Q77" s="4">
        <f t="shared" si="17"/>
        <v>-0.0040305168948790715</v>
      </c>
    </row>
  </sheetData>
  <printOptions horizontalCentered="1"/>
  <pageMargins left="0.7874015748031497" right="0.7874015748031497" top="0.2362204724409449" bottom="0.2362204724409449" header="0.2362204724409449" footer="0.2362204724409449"/>
  <pageSetup horizontalDpi="300" verticalDpi="300" orientation="portrait" paperSize="9" r:id="rId2"/>
  <rowBreaks count="1" manualBreakCount="1">
    <brk id="63" max="6" man="1"/>
  </rowBreaks>
  <colBreaks count="1" manualBreakCount="1">
    <brk id="7" max="90" man="1"/>
  </colBreaks>
  <drawing r:id="rId1"/>
</worksheet>
</file>

<file path=xl/worksheets/sheet3.xml><?xml version="1.0" encoding="utf-8"?>
<worksheet xmlns="http://schemas.openxmlformats.org/spreadsheetml/2006/main" xmlns:r="http://schemas.openxmlformats.org/officeDocument/2006/relationships">
  <dimension ref="H1:AE80"/>
  <sheetViews>
    <sheetView showGridLines="0" zoomScaleSheetLayoutView="100" workbookViewId="0" topLeftCell="E8">
      <selection activeCell="M4" sqref="M4"/>
    </sheetView>
  </sheetViews>
  <sheetFormatPr defaultColWidth="11.421875" defaultRowHeight="12.75"/>
  <cols>
    <col min="1" max="1" width="12.00390625" style="1" bestFit="1" customWidth="1"/>
    <col min="2" max="2" width="11.140625" style="1" customWidth="1"/>
    <col min="3" max="3" width="10.140625" style="1" customWidth="1"/>
    <col min="4" max="5" width="9.57421875" style="1" customWidth="1"/>
    <col min="6" max="6" width="11.140625" style="1" bestFit="1" customWidth="1"/>
    <col min="7" max="7" width="14.140625" style="1" customWidth="1"/>
    <col min="8" max="10" width="18.421875" style="1" customWidth="1"/>
    <col min="11" max="11" width="7.00390625" style="1" customWidth="1"/>
    <col min="12" max="12" width="11.8515625" style="1" customWidth="1"/>
    <col min="13" max="13" width="11.140625" style="1" customWidth="1"/>
    <col min="14" max="14" width="13.57421875" style="1" bestFit="1" customWidth="1"/>
    <col min="15" max="16" width="11.421875" style="1" customWidth="1"/>
    <col min="17" max="18" width="9.57421875" style="1" bestFit="1" customWidth="1"/>
    <col min="19" max="19" width="5.57421875" style="1" customWidth="1"/>
    <col min="20" max="21" width="9.140625" style="1" customWidth="1"/>
    <col min="22" max="23" width="5.57421875" style="1" customWidth="1"/>
    <col min="24" max="26" width="11.421875" style="1" customWidth="1"/>
    <col min="27" max="27" width="13.28125" style="1" customWidth="1"/>
    <col min="28" max="28" width="13.421875" style="1" customWidth="1"/>
    <col min="29" max="16384" width="11.421875" style="1" customWidth="1"/>
  </cols>
  <sheetData>
    <row r="1" spans="8:15" ht="12.75">
      <c r="H1" s="40" t="s">
        <v>31</v>
      </c>
      <c r="I1" s="37" t="s">
        <v>6</v>
      </c>
      <c r="J1" s="38" t="s">
        <v>7</v>
      </c>
      <c r="O1" s="2"/>
    </row>
    <row r="2" spans="8:15" ht="13.5" thickBot="1">
      <c r="H2" s="16">
        <v>52</v>
      </c>
      <c r="I2" s="17">
        <v>39</v>
      </c>
      <c r="J2" s="19">
        <v>141.5</v>
      </c>
      <c r="O2" s="2"/>
    </row>
    <row r="3" spans="12:15" ht="13.5" thickBot="1">
      <c r="L3" s="2"/>
      <c r="M3" s="2"/>
      <c r="N3" s="2"/>
      <c r="O3" s="2"/>
    </row>
    <row r="4" spans="8:15" ht="12.75">
      <c r="H4" s="40" t="s">
        <v>34</v>
      </c>
      <c r="I4" s="37" t="s">
        <v>35</v>
      </c>
      <c r="J4" s="38" t="s">
        <v>36</v>
      </c>
      <c r="K4" s="36"/>
      <c r="M4" s="2"/>
      <c r="N4" s="2"/>
      <c r="O4" s="2"/>
    </row>
    <row r="5" spans="8:15" ht="13.5" thickBot="1">
      <c r="H5" s="41">
        <f>L80</f>
        <v>153.4866752669522</v>
      </c>
      <c r="I5" s="31">
        <f>AC44*10000</f>
        <v>27.166163149561488</v>
      </c>
      <c r="J5" s="42">
        <f>MAX(Z8:Z80)</f>
        <v>0.5713807474467449</v>
      </c>
      <c r="L5" s="2"/>
      <c r="M5" s="2"/>
      <c r="N5" s="2" t="s">
        <v>10</v>
      </c>
      <c r="O5" s="2"/>
    </row>
    <row r="6" spans="13:15" ht="12.75">
      <c r="M6" s="2"/>
      <c r="N6" s="24">
        <f>COS(M8*PI()/180)+$I$2/$J$2*COS(2*M8*PI()/180)-1/4*($I$2/$J$2)^3*COS(4*M8*PI()/180)+1/14*($I$2/$J$2)^5*COS(6*M8*PI()/180)</f>
        <v>1.2704976124663545</v>
      </c>
      <c r="O6" s="2"/>
    </row>
    <row r="7" spans="12:31" ht="51">
      <c r="L7" s="2" t="s">
        <v>29</v>
      </c>
      <c r="M7" s="2" t="s">
        <v>0</v>
      </c>
      <c r="N7" s="2" t="s">
        <v>5</v>
      </c>
      <c r="O7" s="2" t="s">
        <v>1</v>
      </c>
      <c r="P7" s="2" t="s">
        <v>2</v>
      </c>
      <c r="Q7" s="2" t="s">
        <v>3</v>
      </c>
      <c r="R7" s="2" t="s">
        <v>4</v>
      </c>
      <c r="T7" s="3" t="s">
        <v>8</v>
      </c>
      <c r="U7" s="3" t="s">
        <v>9</v>
      </c>
      <c r="X7" s="3" t="s">
        <v>26</v>
      </c>
      <c r="Y7" s="3" t="s">
        <v>27</v>
      </c>
      <c r="Z7" s="3" t="s">
        <v>28</v>
      </c>
      <c r="AA7" s="3" t="s">
        <v>30</v>
      </c>
      <c r="AB7" s="3" t="s">
        <v>30</v>
      </c>
      <c r="AC7" s="1">
        <f>AC44*10000</f>
        <v>27.166163149561488</v>
      </c>
      <c r="AD7" s="3" t="s">
        <v>33</v>
      </c>
      <c r="AE7" s="3"/>
    </row>
    <row r="8" spans="12:31" ht="12.75">
      <c r="L8" s="1">
        <f>Z8*5</f>
        <v>2.4000000000000012</v>
      </c>
      <c r="M8" s="2">
        <v>0</v>
      </c>
      <c r="N8" s="4">
        <f aca="true" t="shared" si="0" ref="N8:N39">(SUM(O8:R8))</f>
        <v>1.0000000000000002</v>
      </c>
      <c r="O8" s="4">
        <f aca="true" t="shared" si="1" ref="O8:O39">COS(M8*PI()/180)/$N$6</f>
        <v>0.7870931752943237</v>
      </c>
      <c r="P8" s="4">
        <f aca="true" t="shared" si="2" ref="P8:P39">$I$2/$J$2*COS(2*M8*PI()/180)/$N$6</f>
        <v>0.21693734160055564</v>
      </c>
      <c r="Q8" s="4">
        <f aca="true" t="shared" si="3" ref="Q8:Q39">-1/4*($I$2/$J$2)^3*COS(4*M8*PI()/180)/$N$6</f>
        <v>-0.004119937776404315</v>
      </c>
      <c r="R8" s="4">
        <f aca="true" t="shared" si="4" ref="R8:R39">1/14*($I$2/$J$2)^5*COS(6*M8*PI()/180)/$N$6</f>
        <v>8.942088152517415E-05</v>
      </c>
      <c r="S8" s="5"/>
      <c r="T8" s="4">
        <f>(N8-O8)</f>
        <v>0.21290682470567657</v>
      </c>
      <c r="U8" s="4">
        <f>(N8-O8-P8)</f>
        <v>-0.0040305168948790715</v>
      </c>
      <c r="V8" s="5"/>
      <c r="W8" s="5"/>
      <c r="X8" s="4">
        <f aca="true" t="shared" si="5" ref="X8:X39">N8-COS(M8*PI()/180)*H$2/100</f>
        <v>0.4800000000000002</v>
      </c>
      <c r="Y8" s="4">
        <f aca="true" t="shared" si="6" ref="Y8:Y39">SIN(M8*PI()/180)*H$2/100</f>
        <v>0</v>
      </c>
      <c r="Z8" s="4">
        <f>SQRT(SUMSQ(X8,Y8))</f>
        <v>0.4800000000000002</v>
      </c>
      <c r="AA8" s="4">
        <f>DEGREES(ATAN2(X8,Y8))</f>
        <v>0</v>
      </c>
      <c r="AB8" s="4">
        <f>IF(DEGREES(ATAN2(X8,Y8))&lt;0,360+DEGREES(ATAN2(X8,Y8)),DEGREES(ATAN2(X8,Y8)))</f>
        <v>0</v>
      </c>
      <c r="AC8" s="4">
        <f>(X8*(Y8-0)/2+X8*(Y9-Y8)/2)^2</f>
        <v>0.00011830992726236961</v>
      </c>
      <c r="AD8" s="4">
        <f>(Z8-Z80)*100</f>
        <v>0</v>
      </c>
      <c r="AE8" s="4"/>
    </row>
    <row r="9" spans="12:31" ht="12.75">
      <c r="L9" s="1">
        <f aca="true" t="shared" si="7" ref="L9:L40">Z9*5+L8</f>
        <v>4.79038687012582</v>
      </c>
      <c r="M9" s="2">
        <v>5</v>
      </c>
      <c r="N9" s="4">
        <f t="shared" si="0"/>
        <v>0.9939455896869324</v>
      </c>
      <c r="O9" s="4">
        <f t="shared" si="1"/>
        <v>0.784098048132402</v>
      </c>
      <c r="P9" s="4">
        <f t="shared" si="2"/>
        <v>0.213641575926085</v>
      </c>
      <c r="Q9" s="4">
        <f t="shared" si="3"/>
        <v>-0.003871475126584239</v>
      </c>
      <c r="R9" s="4">
        <f t="shared" si="4"/>
        <v>7.744075502959939E-05</v>
      </c>
      <c r="S9" s="5"/>
      <c r="T9" s="4">
        <f aca="true" t="shared" si="8" ref="T9:T72">(N9-O9)</f>
        <v>0.20984754155453034</v>
      </c>
      <c r="U9" s="4">
        <f aca="true" t="shared" si="9" ref="U9:U72">(N9-O9-P9)</f>
        <v>-0.00379403437155465</v>
      </c>
      <c r="V9" s="5"/>
      <c r="W9" s="5"/>
      <c r="X9" s="4">
        <f t="shared" si="5"/>
        <v>0.4759243466792247</v>
      </c>
      <c r="Y9" s="4">
        <f t="shared" si="6"/>
        <v>0.04532098622878225</v>
      </c>
      <c r="Z9" s="4">
        <f aca="true" t="shared" si="10" ref="Z9:Z72">SQRT(SUMSQ(X9,Y9))</f>
        <v>0.47807737402516376</v>
      </c>
      <c r="AA9" s="4">
        <f aca="true" t="shared" si="11" ref="AA9:AA72">DEGREES(ATAN2(X9,Y9))</f>
        <v>5.439718554363268</v>
      </c>
      <c r="AB9" s="4">
        <f aca="true" t="shared" si="12" ref="AB9:AB72">IF(DEGREES(ATAN2(X9,Y9))&lt;0,360+DEGREES(ATAN2(X9,Y9)),DEGREES(ATAN2(X9,Y9)))</f>
        <v>5.439718554363268</v>
      </c>
      <c r="AC9" s="4">
        <f aca="true" t="shared" si="13" ref="AC9:AC44">AC8+(X9*(Y9-Y8)/2+X9*(Y10-Y9)/2)^2</f>
        <v>0.0005800132507700886</v>
      </c>
      <c r="AD9" s="4">
        <f>(Z9-Z8)*100</f>
        <v>-0.1922625974836445</v>
      </c>
      <c r="AE9" s="4"/>
    </row>
    <row r="10" spans="12:31" ht="12.75">
      <c r="L10" s="1">
        <f t="shared" si="7"/>
        <v>7.152822363072307</v>
      </c>
      <c r="M10" s="2">
        <v>10</v>
      </c>
      <c r="N10" s="4">
        <f t="shared" si="0"/>
        <v>0.975878535448953</v>
      </c>
      <c r="O10" s="4">
        <f t="shared" si="1"/>
        <v>0.7751354613728468</v>
      </c>
      <c r="P10" s="4">
        <f t="shared" si="2"/>
        <v>0.20385441907495402</v>
      </c>
      <c r="Q10" s="4">
        <f t="shared" si="3"/>
        <v>-0.003156055439610484</v>
      </c>
      <c r="R10" s="4">
        <f t="shared" si="4"/>
        <v>4.471044076258709E-05</v>
      </c>
      <c r="S10" s="5"/>
      <c r="T10" s="4">
        <f t="shared" si="8"/>
        <v>0.20074307407610614</v>
      </c>
      <c r="U10" s="4">
        <f t="shared" si="9"/>
        <v>-0.0031113449988478814</v>
      </c>
      <c r="V10" s="5"/>
      <c r="W10" s="5"/>
      <c r="X10" s="4">
        <f t="shared" si="5"/>
        <v>0.4637785038826048</v>
      </c>
      <c r="Y10" s="4">
        <f t="shared" si="6"/>
        <v>0.09029705238680377</v>
      </c>
      <c r="Z10" s="4">
        <f t="shared" si="10"/>
        <v>0.4724870985892974</v>
      </c>
      <c r="AA10" s="4">
        <f t="shared" si="11"/>
        <v>11.017574921311878</v>
      </c>
      <c r="AB10" s="4">
        <f t="shared" si="12"/>
        <v>11.017574921311878</v>
      </c>
      <c r="AC10" s="4">
        <f t="shared" si="13"/>
        <v>0.0010084856509744611</v>
      </c>
      <c r="AD10" s="4">
        <f aca="true" t="shared" si="14" ref="AD10:AD73">(Z10-Z9)*100</f>
        <v>-0.5590275435866376</v>
      </c>
      <c r="AE10" s="4"/>
    </row>
    <row r="11" spans="12:31" ht="12.75">
      <c r="L11" s="1">
        <f t="shared" si="7"/>
        <v>9.471640305174082</v>
      </c>
      <c r="M11" s="2">
        <v>15</v>
      </c>
      <c r="N11" s="4">
        <f t="shared" si="0"/>
        <v>0.9460869056799978</v>
      </c>
      <c r="O11" s="4">
        <f t="shared" si="1"/>
        <v>0.760273625712656</v>
      </c>
      <c r="P11" s="4">
        <f t="shared" si="2"/>
        <v>0.1878732488555439</v>
      </c>
      <c r="Q11" s="4">
        <f t="shared" si="3"/>
        <v>-0.002059968888202158</v>
      </c>
      <c r="R11" s="4">
        <f t="shared" si="4"/>
        <v>5.477692741856694E-21</v>
      </c>
      <c r="S11" s="5"/>
      <c r="T11" s="4">
        <f t="shared" si="8"/>
        <v>0.18581327996734176</v>
      </c>
      <c r="U11" s="4">
        <f t="shared" si="9"/>
        <v>-0.002059968888202146</v>
      </c>
      <c r="V11" s="5"/>
      <c r="W11" s="5"/>
      <c r="X11" s="4">
        <f t="shared" si="5"/>
        <v>0.44380547600968223</v>
      </c>
      <c r="Y11" s="4">
        <f t="shared" si="6"/>
        <v>0.13458590345331078</v>
      </c>
      <c r="Z11" s="4">
        <f t="shared" si="10"/>
        <v>0.4637635884203551</v>
      </c>
      <c r="AA11" s="4">
        <f t="shared" si="11"/>
        <v>16.87015088282482</v>
      </c>
      <c r="AB11" s="4">
        <f t="shared" si="12"/>
        <v>16.87015088282482</v>
      </c>
      <c r="AC11" s="4">
        <f t="shared" si="13"/>
        <v>0.001385946205253008</v>
      </c>
      <c r="AD11" s="4">
        <f t="shared" si="14"/>
        <v>-0.8723510168942294</v>
      </c>
      <c r="AE11" s="4"/>
    </row>
    <row r="12" spans="12:31" ht="12.75">
      <c r="L12" s="1">
        <f t="shared" si="7"/>
        <v>11.735637032395887</v>
      </c>
      <c r="M12" s="2">
        <v>20</v>
      </c>
      <c r="N12" s="4">
        <f t="shared" si="0"/>
        <v>0.9050491636053981</v>
      </c>
      <c r="O12" s="4">
        <f t="shared" si="1"/>
        <v>0.7396256486950253</v>
      </c>
      <c r="P12" s="4">
        <f t="shared" si="2"/>
        <v>0.16618364503810915</v>
      </c>
      <c r="Q12" s="4">
        <f t="shared" si="3"/>
        <v>-0.0007154196869737547</v>
      </c>
      <c r="R12" s="4">
        <f t="shared" si="4"/>
        <v>-4.4710440762587056E-05</v>
      </c>
      <c r="S12" s="5"/>
      <c r="T12" s="4">
        <f t="shared" si="8"/>
        <v>0.16542351491037277</v>
      </c>
      <c r="U12" s="4">
        <f t="shared" si="9"/>
        <v>-0.0007601301277363748</v>
      </c>
      <c r="V12" s="5"/>
      <c r="W12" s="5"/>
      <c r="X12" s="4">
        <f t="shared" si="5"/>
        <v>0.4164090007967257</v>
      </c>
      <c r="Y12" s="4">
        <f t="shared" si="6"/>
        <v>0.17785047452934774</v>
      </c>
      <c r="Z12" s="4">
        <f t="shared" si="10"/>
        <v>0.4527993454443609</v>
      </c>
      <c r="AA12" s="4">
        <f t="shared" si="11"/>
        <v>23.127582882202063</v>
      </c>
      <c r="AB12" s="4">
        <f t="shared" si="12"/>
        <v>23.127582882202063</v>
      </c>
      <c r="AC12" s="4">
        <f t="shared" si="13"/>
        <v>0.0017004388939761297</v>
      </c>
      <c r="AD12" s="4">
        <f t="shared" si="14"/>
        <v>-1.0964242975994187</v>
      </c>
      <c r="AE12" s="4"/>
    </row>
    <row r="13" spans="12:31" ht="12.75">
      <c r="L13" s="1">
        <f t="shared" si="7"/>
        <v>13.939807423414008</v>
      </c>
      <c r="M13" s="2">
        <v>25</v>
      </c>
      <c r="N13" s="4">
        <f t="shared" si="0"/>
        <v>0.853431288083766</v>
      </c>
      <c r="O13" s="4">
        <f t="shared" si="1"/>
        <v>0.7133486738926484</v>
      </c>
      <c r="P13" s="4">
        <f t="shared" si="2"/>
        <v>0.13944463525917342</v>
      </c>
      <c r="Q13" s="4">
        <f t="shared" si="3"/>
        <v>0.0007154196869737543</v>
      </c>
      <c r="R13" s="4">
        <f t="shared" si="4"/>
        <v>-7.744075502959939E-05</v>
      </c>
      <c r="S13" s="5"/>
      <c r="T13" s="4">
        <f t="shared" si="8"/>
        <v>0.14008261419111756</v>
      </c>
      <c r="U13" s="4">
        <f t="shared" si="9"/>
        <v>0.0006379789319441442</v>
      </c>
      <c r="V13" s="5"/>
      <c r="W13" s="5"/>
      <c r="X13" s="4">
        <f t="shared" si="5"/>
        <v>0.38215123882470803</v>
      </c>
      <c r="Y13" s="4">
        <f t="shared" si="6"/>
        <v>0.21976149610516368</v>
      </c>
      <c r="Z13" s="4">
        <f t="shared" si="10"/>
        <v>0.440834078203624</v>
      </c>
      <c r="AA13" s="4">
        <f t="shared" si="11"/>
        <v>29.901666131887357</v>
      </c>
      <c r="AB13" s="4">
        <f t="shared" si="12"/>
        <v>29.901666131887357</v>
      </c>
      <c r="AC13" s="4">
        <f t="shared" si="13"/>
        <v>0.001946827528360881</v>
      </c>
      <c r="AD13" s="4">
        <f t="shared" si="14"/>
        <v>-1.1965267240736877</v>
      </c>
      <c r="AE13" s="4"/>
    </row>
    <row r="14" spans="12:31" ht="12.75">
      <c r="L14" s="1">
        <f t="shared" si="7"/>
        <v>16.0868528916487</v>
      </c>
      <c r="M14" s="2">
        <v>30</v>
      </c>
      <c r="N14" s="4">
        <f t="shared" si="0"/>
        <v>0.7920819037571974</v>
      </c>
      <c r="O14" s="4">
        <f t="shared" si="1"/>
        <v>0.6816426849502426</v>
      </c>
      <c r="P14" s="4">
        <f t="shared" si="2"/>
        <v>0.10846867080027785</v>
      </c>
      <c r="Q14" s="4">
        <f t="shared" si="3"/>
        <v>0.0020599688882021565</v>
      </c>
      <c r="R14" s="4">
        <f t="shared" si="4"/>
        <v>-8.942088152517415E-05</v>
      </c>
      <c r="S14" s="5"/>
      <c r="T14" s="4">
        <f t="shared" si="8"/>
        <v>0.11043921880695484</v>
      </c>
      <c r="U14" s="4">
        <f t="shared" si="9"/>
        <v>0.001970548006676995</v>
      </c>
      <c r="V14" s="5"/>
      <c r="W14" s="5"/>
      <c r="X14" s="4">
        <f t="shared" si="5"/>
        <v>0.3417486937892893</v>
      </c>
      <c r="Y14" s="4">
        <f t="shared" si="6"/>
        <v>0.25999999999999995</v>
      </c>
      <c r="Z14" s="4">
        <f t="shared" si="10"/>
        <v>0.42940909364693874</v>
      </c>
      <c r="AA14" s="4">
        <f t="shared" si="11"/>
        <v>37.26362192157529</v>
      </c>
      <c r="AB14" s="4">
        <f t="shared" si="12"/>
        <v>37.26362192157529</v>
      </c>
      <c r="AC14" s="4">
        <f t="shared" si="13"/>
        <v>0.002126745146887082</v>
      </c>
      <c r="AD14" s="4">
        <f t="shared" si="14"/>
        <v>-1.142498455668528</v>
      </c>
      <c r="AE14" s="4"/>
    </row>
    <row r="15" spans="12:31" ht="12.75">
      <c r="L15" s="1">
        <f t="shared" si="7"/>
        <v>18.188124189267562</v>
      </c>
      <c r="M15" s="2">
        <v>35</v>
      </c>
      <c r="N15" s="4">
        <f t="shared" si="0"/>
        <v>0.7220245389397515</v>
      </c>
      <c r="O15" s="4">
        <f t="shared" si="1"/>
        <v>0.6447489835882589</v>
      </c>
      <c r="P15" s="4">
        <f t="shared" si="2"/>
        <v>0.07419694066691163</v>
      </c>
      <c r="Q15" s="4">
        <f t="shared" si="3"/>
        <v>0.003156055439610484</v>
      </c>
      <c r="R15" s="4">
        <f t="shared" si="4"/>
        <v>-7.744075502959939E-05</v>
      </c>
      <c r="S15" s="5"/>
      <c r="T15" s="4">
        <f t="shared" si="8"/>
        <v>0.07727555535149255</v>
      </c>
      <c r="U15" s="4">
        <f t="shared" si="9"/>
        <v>0.003078614684580927</v>
      </c>
      <c r="V15" s="5"/>
      <c r="W15" s="5"/>
      <c r="X15" s="4">
        <f t="shared" si="5"/>
        <v>0.29606547590947574</v>
      </c>
      <c r="Y15" s="4">
        <f t="shared" si="6"/>
        <v>0.2982597469025439</v>
      </c>
      <c r="Z15" s="4">
        <f t="shared" si="10"/>
        <v>0.42025425952377204</v>
      </c>
      <c r="AA15" s="4">
        <f t="shared" si="11"/>
        <v>45.21153720377832</v>
      </c>
      <c r="AB15" s="4">
        <f t="shared" si="12"/>
        <v>45.21153720377832</v>
      </c>
      <c r="AC15" s="4">
        <f t="shared" si="13"/>
        <v>0.002247555256289006</v>
      </c>
      <c r="AD15" s="4">
        <f t="shared" si="14"/>
        <v>-0.91548341231667</v>
      </c>
      <c r="AE15" s="4"/>
    </row>
    <row r="16" spans="12:31" ht="12.75">
      <c r="L16" s="1">
        <f t="shared" si="7"/>
        <v>20.26351177606783</v>
      </c>
      <c r="M16" s="2">
        <v>40</v>
      </c>
      <c r="N16" s="4">
        <f t="shared" si="0"/>
        <v>0.6444458918737548</v>
      </c>
      <c r="O16" s="4">
        <f t="shared" si="1"/>
        <v>0.6029483531510883</v>
      </c>
      <c r="P16" s="4">
        <f t="shared" si="2"/>
        <v>0.03767077403684486</v>
      </c>
      <c r="Q16" s="4">
        <f t="shared" si="3"/>
        <v>0.003871475126584238</v>
      </c>
      <c r="R16" s="4">
        <f t="shared" si="4"/>
        <v>-4.471044076258712E-05</v>
      </c>
      <c r="S16" s="5"/>
      <c r="T16" s="4">
        <f t="shared" si="8"/>
        <v>0.04149753872266648</v>
      </c>
      <c r="U16" s="4">
        <f t="shared" si="9"/>
        <v>0.003826764685821625</v>
      </c>
      <c r="V16" s="5"/>
      <c r="W16" s="5"/>
      <c r="X16" s="4">
        <f t="shared" si="5"/>
        <v>0.24610278145188624</v>
      </c>
      <c r="Y16" s="4">
        <f t="shared" si="6"/>
        <v>0.33424955703700043</v>
      </c>
      <c r="Z16" s="4">
        <f t="shared" si="10"/>
        <v>0.41507751736005394</v>
      </c>
      <c r="AA16" s="4">
        <f t="shared" si="11"/>
        <v>53.636358453288146</v>
      </c>
      <c r="AB16" s="4">
        <f t="shared" si="12"/>
        <v>53.636358453288146</v>
      </c>
      <c r="AC16" s="4">
        <f t="shared" si="13"/>
        <v>0.0023205580837915166</v>
      </c>
      <c r="AD16" s="4">
        <f t="shared" si="14"/>
        <v>-0.5176742163718107</v>
      </c>
      <c r="AE16" s="4"/>
    </row>
    <row r="17" spans="12:31" ht="12.75">
      <c r="L17" s="1">
        <f t="shared" si="7"/>
        <v>22.339822006420874</v>
      </c>
      <c r="M17" s="2">
        <v>45</v>
      </c>
      <c r="N17" s="4">
        <f t="shared" si="0"/>
        <v>0.5606788594526725</v>
      </c>
      <c r="O17" s="4">
        <f t="shared" si="1"/>
        <v>0.5565589216762682</v>
      </c>
      <c r="P17" s="4">
        <f t="shared" si="2"/>
        <v>1.3289022443695211E-17</v>
      </c>
      <c r="Q17" s="4">
        <f t="shared" si="3"/>
        <v>0.004119937776404315</v>
      </c>
      <c r="R17" s="4">
        <f t="shared" si="4"/>
        <v>-1.643307822557008E-20</v>
      </c>
      <c r="S17" s="5"/>
      <c r="T17" s="4">
        <f t="shared" si="8"/>
        <v>0.004119937776404292</v>
      </c>
      <c r="U17" s="4">
        <f t="shared" si="9"/>
        <v>0.004119937776404279</v>
      </c>
      <c r="V17" s="5"/>
      <c r="W17" s="5"/>
      <c r="X17" s="4">
        <f t="shared" si="5"/>
        <v>0.19298333323566774</v>
      </c>
      <c r="Y17" s="4">
        <f t="shared" si="6"/>
        <v>0.3676955262170047</v>
      </c>
      <c r="Z17" s="4">
        <f t="shared" si="10"/>
        <v>0.41526204607060924</v>
      </c>
      <c r="AA17" s="4">
        <f t="shared" si="11"/>
        <v>62.307468239844106</v>
      </c>
      <c r="AB17" s="4">
        <f t="shared" si="12"/>
        <v>62.307468239844106</v>
      </c>
      <c r="AC17" s="4">
        <f t="shared" si="13"/>
        <v>0.0023588060471752092</v>
      </c>
      <c r="AD17" s="4">
        <f t="shared" si="14"/>
        <v>0.01845287105552984</v>
      </c>
      <c r="AE17" s="4"/>
    </row>
    <row r="18" spans="12:31" ht="12.75">
      <c r="L18" s="1">
        <f t="shared" si="7"/>
        <v>24.447556612959733</v>
      </c>
      <c r="M18" s="2">
        <v>50</v>
      </c>
      <c r="N18" s="4">
        <f t="shared" si="0"/>
        <v>0.4721791522785286</v>
      </c>
      <c r="O18" s="4">
        <f t="shared" si="1"/>
        <v>0.5059337407480266</v>
      </c>
      <c r="P18" s="4">
        <f t="shared" si="2"/>
        <v>-0.03767077403684484</v>
      </c>
      <c r="Q18" s="4">
        <f t="shared" si="3"/>
        <v>0.003871475126584239</v>
      </c>
      <c r="R18" s="4">
        <f t="shared" si="4"/>
        <v>4.471044076258709E-05</v>
      </c>
      <c r="S18" s="5"/>
      <c r="T18" s="4">
        <f t="shared" si="8"/>
        <v>-0.03375458846949797</v>
      </c>
      <c r="U18" s="4">
        <f t="shared" si="9"/>
        <v>0.0039161855673468665</v>
      </c>
      <c r="V18" s="5"/>
      <c r="W18" s="5"/>
      <c r="X18" s="4">
        <f t="shared" si="5"/>
        <v>0.1379295952415281</v>
      </c>
      <c r="Y18" s="4">
        <f t="shared" si="6"/>
        <v>0.39834311042186854</v>
      </c>
      <c r="Z18" s="4">
        <f t="shared" si="10"/>
        <v>0.42154692130777177</v>
      </c>
      <c r="AA18" s="4">
        <f t="shared" si="11"/>
        <v>70.90116545362898</v>
      </c>
      <c r="AB18" s="4">
        <f t="shared" si="12"/>
        <v>70.90116545362898</v>
      </c>
      <c r="AC18" s="4">
        <f t="shared" si="13"/>
        <v>0.0023749514401817822</v>
      </c>
      <c r="AD18" s="4">
        <f t="shared" si="14"/>
        <v>0.6284875237162535</v>
      </c>
      <c r="AE18" s="4"/>
    </row>
    <row r="19" spans="12:31" ht="12.75">
      <c r="L19" s="1">
        <f t="shared" si="7"/>
        <v>26.61667915063275</v>
      </c>
      <c r="M19" s="2">
        <v>55</v>
      </c>
      <c r="N19" s="4">
        <f t="shared" si="0"/>
        <v>0.38049465408927596</v>
      </c>
      <c r="O19" s="4">
        <f t="shared" si="1"/>
        <v>0.45145809856154745</v>
      </c>
      <c r="P19" s="4">
        <f t="shared" si="2"/>
        <v>-0.07419694066691158</v>
      </c>
      <c r="Q19" s="4">
        <f t="shared" si="3"/>
        <v>0.003156055439610484</v>
      </c>
      <c r="R19" s="4">
        <f t="shared" si="4"/>
        <v>7.744075502959938E-05</v>
      </c>
      <c r="S19" s="5"/>
      <c r="T19" s="4">
        <f t="shared" si="8"/>
        <v>-0.07096344447227149</v>
      </c>
      <c r="U19" s="4">
        <f t="shared" si="9"/>
        <v>0.003233496194640098</v>
      </c>
      <c r="V19" s="5"/>
      <c r="W19" s="5"/>
      <c r="X19" s="4">
        <f t="shared" si="5"/>
        <v>0.08223490718673193</v>
      </c>
      <c r="Y19" s="4">
        <f t="shared" si="6"/>
        <v>0.42595906303027575</v>
      </c>
      <c r="Z19" s="4">
        <f t="shared" si="10"/>
        <v>0.43382450753460305</v>
      </c>
      <c r="AA19" s="4">
        <f t="shared" si="11"/>
        <v>79.07300912544055</v>
      </c>
      <c r="AB19" s="4">
        <f t="shared" si="12"/>
        <v>79.07300912544055</v>
      </c>
      <c r="AC19" s="4">
        <f t="shared" si="13"/>
        <v>0.0023795212036325643</v>
      </c>
      <c r="AD19" s="4">
        <f t="shared" si="14"/>
        <v>1.2277586226831283</v>
      </c>
      <c r="AE19" s="4"/>
    </row>
    <row r="20" spans="12:31" ht="12.75">
      <c r="L20" s="1">
        <f t="shared" si="7"/>
        <v>28.872456878078403</v>
      </c>
      <c r="M20" s="2">
        <v>60</v>
      </c>
      <c r="N20" s="4">
        <f t="shared" si="0"/>
        <v>0.28722730661661144</v>
      </c>
      <c r="O20" s="4">
        <f t="shared" si="1"/>
        <v>0.3935465876471619</v>
      </c>
      <c r="P20" s="4">
        <f t="shared" si="2"/>
        <v>-0.10846867080027778</v>
      </c>
      <c r="Q20" s="4">
        <f t="shared" si="3"/>
        <v>0.002059968888202159</v>
      </c>
      <c r="R20" s="4">
        <f t="shared" si="4"/>
        <v>8.942088152517415E-05</v>
      </c>
      <c r="S20" s="5"/>
      <c r="T20" s="4">
        <f t="shared" si="8"/>
        <v>-0.10631928103055044</v>
      </c>
      <c r="U20" s="4">
        <f t="shared" si="9"/>
        <v>0.002149389769727339</v>
      </c>
      <c r="V20" s="5"/>
      <c r="W20" s="5"/>
      <c r="X20" s="4">
        <f t="shared" si="5"/>
        <v>0.02722730661661138</v>
      </c>
      <c r="Y20" s="4">
        <f t="shared" si="6"/>
        <v>0.45033320996790804</v>
      </c>
      <c r="Z20" s="4">
        <f t="shared" si="10"/>
        <v>0.4511555454891305</v>
      </c>
      <c r="AA20" s="4">
        <f t="shared" si="11"/>
        <v>86.54008846780002</v>
      </c>
      <c r="AB20" s="4">
        <f t="shared" si="12"/>
        <v>86.54008846780002</v>
      </c>
      <c r="AC20" s="4">
        <f t="shared" si="13"/>
        <v>0.0023799018731283446</v>
      </c>
      <c r="AD20" s="4">
        <f t="shared" si="14"/>
        <v>1.733103795452745</v>
      </c>
      <c r="AE20" s="4"/>
    </row>
    <row r="21" spans="12:31" ht="12.75">
      <c r="L21" s="1">
        <f t="shared" si="7"/>
        <v>31.23237821640256</v>
      </c>
      <c r="M21" s="2">
        <v>65</v>
      </c>
      <c r="N21" s="4">
        <f t="shared" si="0"/>
        <v>0.19398817475368463</v>
      </c>
      <c r="O21" s="4">
        <f t="shared" si="1"/>
        <v>0.3326399495708547</v>
      </c>
      <c r="P21" s="4">
        <f t="shared" si="2"/>
        <v>-0.13944463525917342</v>
      </c>
      <c r="Q21" s="4">
        <f t="shared" si="3"/>
        <v>0.0007154196869737544</v>
      </c>
      <c r="R21" s="4">
        <f t="shared" si="4"/>
        <v>7.744075502959943E-05</v>
      </c>
      <c r="S21" s="5"/>
      <c r="T21" s="4">
        <f t="shared" si="8"/>
        <v>-0.13865177481717006</v>
      </c>
      <c r="U21" s="4">
        <f t="shared" si="9"/>
        <v>0.0007928604420033569</v>
      </c>
      <c r="V21" s="5"/>
      <c r="W21" s="5"/>
      <c r="X21" s="4">
        <f t="shared" si="5"/>
        <v>-0.025773321351479056</v>
      </c>
      <c r="Y21" s="4">
        <f t="shared" si="6"/>
        <v>0.471280049259058</v>
      </c>
      <c r="Z21" s="4">
        <f t="shared" si="10"/>
        <v>0.47198426766483087</v>
      </c>
      <c r="AA21" s="4">
        <f t="shared" si="11"/>
        <v>93.13026833590295</v>
      </c>
      <c r="AB21" s="4">
        <f t="shared" si="12"/>
        <v>93.13026833590295</v>
      </c>
      <c r="AC21" s="4">
        <f t="shared" si="13"/>
        <v>0.0023801455621701014</v>
      </c>
      <c r="AD21" s="4">
        <f t="shared" si="14"/>
        <v>2.0828722175700367</v>
      </c>
      <c r="AE21" s="4"/>
    </row>
    <row r="22" spans="12:31" ht="12.75">
      <c r="L22" s="1">
        <f t="shared" si="7"/>
        <v>33.70457323326441</v>
      </c>
      <c r="M22" s="2">
        <v>70</v>
      </c>
      <c r="N22" s="4">
        <f t="shared" si="0"/>
        <v>0.10234736634050005</v>
      </c>
      <c r="O22" s="4">
        <f t="shared" si="1"/>
        <v>0.26920172062482034</v>
      </c>
      <c r="P22" s="4">
        <f t="shared" si="2"/>
        <v>-0.16618364503810912</v>
      </c>
      <c r="Q22" s="4">
        <f t="shared" si="3"/>
        <v>-0.0007154196869737529</v>
      </c>
      <c r="R22" s="4">
        <f t="shared" si="4"/>
        <v>4.471044076258705E-05</v>
      </c>
      <c r="S22" s="5"/>
      <c r="T22" s="4">
        <f t="shared" si="8"/>
        <v>-0.16685435428432027</v>
      </c>
      <c r="U22" s="4">
        <f t="shared" si="9"/>
        <v>-0.0006707092462111541</v>
      </c>
      <c r="V22" s="5"/>
      <c r="W22" s="5"/>
      <c r="X22" s="4">
        <f t="shared" si="5"/>
        <v>-0.07550310818884774</v>
      </c>
      <c r="Y22" s="4">
        <f t="shared" si="6"/>
        <v>0.48864016280867234</v>
      </c>
      <c r="Z22" s="4">
        <f t="shared" si="10"/>
        <v>0.4944390033723702</v>
      </c>
      <c r="AA22" s="4">
        <f t="shared" si="11"/>
        <v>98.7836945237262</v>
      </c>
      <c r="AB22" s="4">
        <f t="shared" si="12"/>
        <v>98.7836945237262</v>
      </c>
      <c r="AC22" s="4">
        <f t="shared" si="13"/>
        <v>0.002381515281970462</v>
      </c>
      <c r="AD22" s="4">
        <f t="shared" si="14"/>
        <v>2.245473570753931</v>
      </c>
      <c r="AE22" s="4"/>
    </row>
    <row r="23" spans="12:31" ht="12.75">
      <c r="L23" s="1">
        <f t="shared" si="7"/>
        <v>36.28759637387497</v>
      </c>
      <c r="M23" s="2">
        <v>75</v>
      </c>
      <c r="N23" s="4">
        <f t="shared" si="0"/>
        <v>0.013781486292641741</v>
      </c>
      <c r="O23" s="4">
        <f t="shared" si="1"/>
        <v>0.2037147040363878</v>
      </c>
      <c r="P23" s="4">
        <f t="shared" si="2"/>
        <v>-0.1878732488555439</v>
      </c>
      <c r="Q23" s="4">
        <f t="shared" si="3"/>
        <v>-0.002059968888202158</v>
      </c>
      <c r="R23" s="4">
        <f t="shared" si="4"/>
        <v>2.738846370928347E-20</v>
      </c>
      <c r="S23" s="5"/>
      <c r="T23" s="4">
        <f t="shared" si="8"/>
        <v>-0.18993321774374605</v>
      </c>
      <c r="U23" s="4">
        <f t="shared" si="9"/>
        <v>-0.002059968888202146</v>
      </c>
      <c r="V23" s="5"/>
      <c r="W23" s="5"/>
      <c r="X23" s="4">
        <f t="shared" si="5"/>
        <v>-0.12080441716066904</v>
      </c>
      <c r="Y23" s="4">
        <f t="shared" si="6"/>
        <v>0.5022814296703155</v>
      </c>
      <c r="Z23" s="4">
        <f t="shared" si="10"/>
        <v>0.5166046281221115</v>
      </c>
      <c r="AA23" s="4">
        <f t="shared" si="11"/>
        <v>103.52343609258635</v>
      </c>
      <c r="AB23" s="4">
        <f t="shared" si="12"/>
        <v>103.52343609258635</v>
      </c>
      <c r="AC23" s="4">
        <f t="shared" si="13"/>
        <v>0.0023835232500000743</v>
      </c>
      <c r="AD23" s="4">
        <f t="shared" si="14"/>
        <v>2.2165624749741317</v>
      </c>
      <c r="AE23" s="4"/>
    </row>
    <row r="24" spans="12:31" ht="12.75">
      <c r="L24" s="1">
        <f t="shared" si="7"/>
        <v>38.97117085230904</v>
      </c>
      <c r="M24" s="2">
        <v>80</v>
      </c>
      <c r="N24" s="4">
        <f t="shared" si="0"/>
        <v>-0.07037788941138991</v>
      </c>
      <c r="O24" s="4">
        <f t="shared" si="1"/>
        <v>0.13667729554393712</v>
      </c>
      <c r="P24" s="4">
        <f t="shared" si="2"/>
        <v>-0.20385441907495397</v>
      </c>
      <c r="Q24" s="4">
        <f t="shared" si="3"/>
        <v>-0.003156055439610483</v>
      </c>
      <c r="R24" s="4">
        <f t="shared" si="4"/>
        <v>-4.471044076258701E-05</v>
      </c>
      <c r="S24" s="5"/>
      <c r="T24" s="4">
        <f t="shared" si="8"/>
        <v>-0.20705518495532704</v>
      </c>
      <c r="U24" s="4">
        <f t="shared" si="9"/>
        <v>-0.0032007658803730743</v>
      </c>
      <c r="V24" s="5"/>
      <c r="W24" s="5"/>
      <c r="X24" s="4">
        <f t="shared" si="5"/>
        <v>-0.16067494179819372</v>
      </c>
      <c r="Y24" s="4">
        <f t="shared" si="6"/>
        <v>0.5121000315663482</v>
      </c>
      <c r="Z24" s="4">
        <f t="shared" si="10"/>
        <v>0.5367148956868141</v>
      </c>
      <c r="AA24" s="4">
        <f t="shared" si="11"/>
        <v>107.4196115539339</v>
      </c>
      <c r="AB24" s="4">
        <f t="shared" si="12"/>
        <v>107.4196115539339</v>
      </c>
      <c r="AC24" s="4">
        <f t="shared" si="13"/>
        <v>0.002385122202147042</v>
      </c>
      <c r="AD24" s="4">
        <f t="shared" si="14"/>
        <v>2.0110267564702577</v>
      </c>
      <c r="AE24" s="4"/>
    </row>
    <row r="25" spans="12:31" ht="12.75">
      <c r="L25" s="1">
        <f t="shared" si="7"/>
        <v>41.737500004176596</v>
      </c>
      <c r="M25" s="2">
        <v>85</v>
      </c>
      <c r="N25" s="4">
        <f t="shared" si="0"/>
        <v>-0.14899080150330934</v>
      </c>
      <c r="O25" s="4">
        <f t="shared" si="1"/>
        <v>0.06859969030438946</v>
      </c>
      <c r="P25" s="4">
        <f t="shared" si="2"/>
        <v>-0.213641575926085</v>
      </c>
      <c r="Q25" s="4">
        <f t="shared" si="3"/>
        <v>-0.003871475126584239</v>
      </c>
      <c r="R25" s="4">
        <f t="shared" si="4"/>
        <v>-7.74407550295994E-05</v>
      </c>
      <c r="S25" s="5"/>
      <c r="T25" s="4">
        <f t="shared" si="8"/>
        <v>-0.2175904918076988</v>
      </c>
      <c r="U25" s="4">
        <f t="shared" si="9"/>
        <v>-0.003948915881613807</v>
      </c>
      <c r="V25" s="5"/>
      <c r="W25" s="5"/>
      <c r="X25" s="4">
        <f t="shared" si="5"/>
        <v>-0.19431178773209157</v>
      </c>
      <c r="Y25" s="4">
        <f t="shared" si="6"/>
        <v>0.5180212430077077</v>
      </c>
      <c r="Z25" s="4">
        <f t="shared" si="10"/>
        <v>0.5532658303735122</v>
      </c>
      <c r="AA25" s="4">
        <f t="shared" si="11"/>
        <v>110.56126405954303</v>
      </c>
      <c r="AB25" s="4">
        <f t="shared" si="12"/>
        <v>110.56126405954303</v>
      </c>
      <c r="AC25" s="4">
        <f t="shared" si="13"/>
        <v>0.0023857113021371955</v>
      </c>
      <c r="AD25" s="4">
        <f t="shared" si="14"/>
        <v>1.6550934686698104</v>
      </c>
      <c r="AE25" s="4"/>
    </row>
    <row r="26" spans="12:31" ht="12.75">
      <c r="L26" s="1">
        <f t="shared" si="7"/>
        <v>44.56285778256156</v>
      </c>
      <c r="M26" s="2">
        <v>90</v>
      </c>
      <c r="N26" s="4">
        <f t="shared" si="0"/>
        <v>-0.22114670025848507</v>
      </c>
      <c r="O26" s="4">
        <f t="shared" si="1"/>
        <v>4.821529937904801E-17</v>
      </c>
      <c r="P26" s="4">
        <f t="shared" si="2"/>
        <v>-0.21693734160055564</v>
      </c>
      <c r="Q26" s="4">
        <f t="shared" si="3"/>
        <v>-0.004119937776404315</v>
      </c>
      <c r="R26" s="4">
        <f t="shared" si="4"/>
        <v>-8.942088152517415E-05</v>
      </c>
      <c r="S26" s="5"/>
      <c r="T26" s="4">
        <f t="shared" si="8"/>
        <v>-0.22114670025848512</v>
      </c>
      <c r="U26" s="4">
        <f t="shared" si="9"/>
        <v>-0.004209358657929485</v>
      </c>
      <c r="V26" s="5"/>
      <c r="W26" s="5"/>
      <c r="X26" s="4">
        <f t="shared" si="5"/>
        <v>-0.2211467002584851</v>
      </c>
      <c r="Y26" s="4">
        <f t="shared" si="6"/>
        <v>0.52</v>
      </c>
      <c r="Z26" s="4">
        <f t="shared" si="10"/>
        <v>0.5650715556769924</v>
      </c>
      <c r="AA26" s="4">
        <f t="shared" si="11"/>
        <v>113.03918171327105</v>
      </c>
      <c r="AB26" s="4">
        <f t="shared" si="12"/>
        <v>113.03918171327105</v>
      </c>
      <c r="AC26" s="4">
        <f t="shared" si="13"/>
        <v>0.0023857113021371955</v>
      </c>
      <c r="AD26" s="4">
        <f t="shared" si="14"/>
        <v>1.180572530348023</v>
      </c>
      <c r="AE26" s="4"/>
    </row>
    <row r="27" spans="12:31" ht="12.75">
      <c r="L27" s="1">
        <f t="shared" si="7"/>
        <v>47.41927152068109</v>
      </c>
      <c r="M27" s="2">
        <v>95</v>
      </c>
      <c r="N27" s="4">
        <f t="shared" si="0"/>
        <v>-0.28619018211208835</v>
      </c>
      <c r="O27" s="4">
        <f t="shared" si="1"/>
        <v>-0.06859969030438953</v>
      </c>
      <c r="P27" s="4">
        <f t="shared" si="2"/>
        <v>-0.213641575926085</v>
      </c>
      <c r="Q27" s="4">
        <f t="shared" si="3"/>
        <v>-0.003871475126584238</v>
      </c>
      <c r="R27" s="4">
        <f t="shared" si="4"/>
        <v>-7.744075502959937E-05</v>
      </c>
      <c r="S27" s="5"/>
      <c r="T27" s="4">
        <f t="shared" si="8"/>
        <v>-0.21759049180769882</v>
      </c>
      <c r="U27" s="4">
        <f t="shared" si="9"/>
        <v>-0.003948915881613835</v>
      </c>
      <c r="V27" s="5"/>
      <c r="W27" s="5"/>
      <c r="X27" s="4">
        <f t="shared" si="5"/>
        <v>-0.24086919588330608</v>
      </c>
      <c r="Y27" s="4">
        <f t="shared" si="6"/>
        <v>0.5180212430077077</v>
      </c>
      <c r="Z27" s="4">
        <f t="shared" si="10"/>
        <v>0.5712827476239073</v>
      </c>
      <c r="AA27" s="4">
        <f t="shared" si="11"/>
        <v>114.9374562023966</v>
      </c>
      <c r="AB27" s="4">
        <f t="shared" si="12"/>
        <v>114.9374562023966</v>
      </c>
      <c r="AC27" s="4">
        <f t="shared" si="13"/>
        <v>0.0023866165202726403</v>
      </c>
      <c r="AD27" s="4">
        <f t="shared" si="14"/>
        <v>0.6211191946914885</v>
      </c>
      <c r="AE27" s="4"/>
    </row>
    <row r="28" spans="12:31" ht="12.75">
      <c r="L28" s="1">
        <f t="shared" si="7"/>
        <v>50.276175257914815</v>
      </c>
      <c r="M28" s="2">
        <v>100</v>
      </c>
      <c r="N28" s="4">
        <f t="shared" si="0"/>
        <v>-0.34373248049926414</v>
      </c>
      <c r="O28" s="4">
        <f t="shared" si="1"/>
        <v>-0.136677295543937</v>
      </c>
      <c r="P28" s="4">
        <f t="shared" si="2"/>
        <v>-0.20385441907495402</v>
      </c>
      <c r="Q28" s="4">
        <f t="shared" si="3"/>
        <v>-0.0031560554396104844</v>
      </c>
      <c r="R28" s="4">
        <f t="shared" si="4"/>
        <v>-4.471044076258706E-05</v>
      </c>
      <c r="S28" s="5"/>
      <c r="T28" s="4">
        <f t="shared" si="8"/>
        <v>-0.20705518495532713</v>
      </c>
      <c r="U28" s="4">
        <f t="shared" si="9"/>
        <v>-0.003200765880373102</v>
      </c>
      <c r="V28" s="5"/>
      <c r="W28" s="5"/>
      <c r="X28" s="4">
        <f t="shared" si="5"/>
        <v>-0.2534354281124604</v>
      </c>
      <c r="Y28" s="4">
        <f t="shared" si="6"/>
        <v>0.5121000315663482</v>
      </c>
      <c r="Z28" s="4">
        <f t="shared" si="10"/>
        <v>0.5713807474467449</v>
      </c>
      <c r="AA28" s="4">
        <f t="shared" si="11"/>
        <v>116.33054923462122</v>
      </c>
      <c r="AB28" s="4">
        <f t="shared" si="12"/>
        <v>116.33054923462122</v>
      </c>
      <c r="AC28" s="4">
        <f t="shared" si="13"/>
        <v>0.0023905946030411346</v>
      </c>
      <c r="AD28" s="4">
        <f t="shared" si="14"/>
        <v>0.009799982283764663</v>
      </c>
      <c r="AE28" s="4"/>
    </row>
    <row r="29" spans="12:31" ht="12.75">
      <c r="L29" s="1">
        <f t="shared" si="7"/>
        <v>53.10194844383767</v>
      </c>
      <c r="M29" s="2">
        <v>105</v>
      </c>
      <c r="N29" s="4">
        <f t="shared" si="0"/>
        <v>-0.3936479217801339</v>
      </c>
      <c r="O29" s="4">
        <f t="shared" si="1"/>
        <v>-0.2037147040363879</v>
      </c>
      <c r="P29" s="4">
        <f t="shared" si="2"/>
        <v>-0.18787324885554388</v>
      </c>
      <c r="Q29" s="4">
        <f t="shared" si="3"/>
        <v>-0.0020599688882021565</v>
      </c>
      <c r="R29" s="4">
        <f t="shared" si="4"/>
        <v>-3.8343849192996854E-20</v>
      </c>
      <c r="S29" s="5"/>
      <c r="T29" s="4">
        <f t="shared" si="8"/>
        <v>-0.18993321774374602</v>
      </c>
      <c r="U29" s="4">
        <f t="shared" si="9"/>
        <v>-0.002059968888202146</v>
      </c>
      <c r="V29" s="5"/>
      <c r="W29" s="5"/>
      <c r="X29" s="4">
        <f t="shared" si="5"/>
        <v>-0.2590620183268231</v>
      </c>
      <c r="Y29" s="4">
        <f t="shared" si="6"/>
        <v>0.5022814296703155</v>
      </c>
      <c r="Z29" s="4">
        <f t="shared" si="10"/>
        <v>0.5651546371845704</v>
      </c>
      <c r="AA29" s="4">
        <f t="shared" si="11"/>
        <v>117.28335530104056</v>
      </c>
      <c r="AB29" s="4">
        <f t="shared" si="12"/>
        <v>117.28335530104056</v>
      </c>
      <c r="AC29" s="4">
        <f t="shared" si="13"/>
        <v>0.0023998287898165153</v>
      </c>
      <c r="AD29" s="4">
        <f t="shared" si="14"/>
        <v>-0.6226110262174567</v>
      </c>
      <c r="AE29" s="4"/>
    </row>
    <row r="30" spans="12:31" ht="12.75">
      <c r="L30" s="1">
        <f t="shared" si="7"/>
        <v>55.86527678470297</v>
      </c>
      <c r="M30" s="2">
        <v>110</v>
      </c>
      <c r="N30" s="4">
        <f t="shared" si="0"/>
        <v>-0.43605607490914056</v>
      </c>
      <c r="O30" s="4">
        <f t="shared" si="1"/>
        <v>-0.26920172062482023</v>
      </c>
      <c r="P30" s="4">
        <f t="shared" si="2"/>
        <v>-0.16618364503810915</v>
      </c>
      <c r="Q30" s="4">
        <f t="shared" si="3"/>
        <v>-0.0007154196869737548</v>
      </c>
      <c r="R30" s="4">
        <f t="shared" si="4"/>
        <v>4.4710440762586996E-05</v>
      </c>
      <c r="S30" s="5"/>
      <c r="T30" s="4">
        <f t="shared" si="8"/>
        <v>-0.16685435428432033</v>
      </c>
      <c r="U30" s="4">
        <f t="shared" si="9"/>
        <v>-0.0006707092462111819</v>
      </c>
      <c r="V30" s="5"/>
      <c r="W30" s="5"/>
      <c r="X30" s="4">
        <f t="shared" si="5"/>
        <v>-0.2582056003797928</v>
      </c>
      <c r="Y30" s="4">
        <f t="shared" si="6"/>
        <v>0.4886401628086724</v>
      </c>
      <c r="Z30" s="4">
        <f t="shared" si="10"/>
        <v>0.5526656681730602</v>
      </c>
      <c r="AA30" s="4">
        <f t="shared" si="11"/>
        <v>117.85271891589049</v>
      </c>
      <c r="AB30" s="4">
        <f t="shared" si="12"/>
        <v>117.85271891589049</v>
      </c>
      <c r="AC30" s="4">
        <f t="shared" si="13"/>
        <v>0.0024158477155766032</v>
      </c>
      <c r="AD30" s="4">
        <f t="shared" si="14"/>
        <v>-1.2488969011510198</v>
      </c>
      <c r="AE30" s="4"/>
    </row>
    <row r="31" spans="12:31" ht="12.75">
      <c r="L31" s="1">
        <f t="shared" si="7"/>
        <v>58.536289423055926</v>
      </c>
      <c r="M31" s="2">
        <v>115</v>
      </c>
      <c r="N31" s="4">
        <f t="shared" si="0"/>
        <v>-0.4712917243880247</v>
      </c>
      <c r="O31" s="4">
        <f t="shared" si="1"/>
        <v>-0.3326399495708546</v>
      </c>
      <c r="P31" s="4">
        <f t="shared" si="2"/>
        <v>-0.13944463525917344</v>
      </c>
      <c r="Q31" s="4">
        <f t="shared" si="3"/>
        <v>0.0007154196869737524</v>
      </c>
      <c r="R31" s="4">
        <f t="shared" si="4"/>
        <v>7.744075502959939E-05</v>
      </c>
      <c r="S31" s="5"/>
      <c r="T31" s="4">
        <f t="shared" si="8"/>
        <v>-0.13865177481717011</v>
      </c>
      <c r="U31" s="4">
        <f t="shared" si="9"/>
        <v>0.0007928604420033292</v>
      </c>
      <c r="V31" s="5"/>
      <c r="W31" s="5"/>
      <c r="X31" s="4">
        <f t="shared" si="5"/>
        <v>-0.25153022828286103</v>
      </c>
      <c r="Y31" s="4">
        <f t="shared" si="6"/>
        <v>0.471280049259058</v>
      </c>
      <c r="Z31" s="4">
        <f t="shared" si="10"/>
        <v>0.5342025276705908</v>
      </c>
      <c r="AA31" s="4">
        <f t="shared" si="11"/>
        <v>118.08960372899666</v>
      </c>
      <c r="AB31" s="4">
        <f t="shared" si="12"/>
        <v>118.08960372899666</v>
      </c>
      <c r="AC31" s="4">
        <f t="shared" si="13"/>
        <v>0.002439057739744487</v>
      </c>
      <c r="AD31" s="4">
        <f t="shared" si="14"/>
        <v>-1.8463140502469333</v>
      </c>
      <c r="AE31" s="4"/>
    </row>
    <row r="32" spans="12:31" ht="12.75">
      <c r="L32" s="1">
        <f t="shared" si="7"/>
        <v>61.08744423488386</v>
      </c>
      <c r="M32" s="2">
        <v>120</v>
      </c>
      <c r="N32" s="4">
        <f t="shared" si="0"/>
        <v>-0.4998658686777122</v>
      </c>
      <c r="O32" s="4">
        <f t="shared" si="1"/>
        <v>-0.3935465876471616</v>
      </c>
      <c r="P32" s="4">
        <f t="shared" si="2"/>
        <v>-0.1084686708002779</v>
      </c>
      <c r="Q32" s="4">
        <f t="shared" si="3"/>
        <v>0.0020599688882021543</v>
      </c>
      <c r="R32" s="4">
        <f t="shared" si="4"/>
        <v>8.942088152517415E-05</v>
      </c>
      <c r="S32" s="5"/>
      <c r="T32" s="4">
        <f t="shared" si="8"/>
        <v>-0.1063192810305506</v>
      </c>
      <c r="U32" s="4">
        <f t="shared" si="9"/>
        <v>0.0021493897697272973</v>
      </c>
      <c r="V32" s="5"/>
      <c r="W32" s="5"/>
      <c r="X32" s="4">
        <f t="shared" si="5"/>
        <v>-0.2398658686777123</v>
      </c>
      <c r="Y32" s="4">
        <f t="shared" si="6"/>
        <v>0.45033320996790815</v>
      </c>
      <c r="Z32" s="4">
        <f t="shared" si="10"/>
        <v>0.5102309623655875</v>
      </c>
      <c r="AA32" s="4">
        <f t="shared" si="11"/>
        <v>118.04158863435754</v>
      </c>
      <c r="AB32" s="4">
        <f t="shared" si="12"/>
        <v>118.04158863435754</v>
      </c>
      <c r="AC32" s="4">
        <f t="shared" si="13"/>
        <v>0.002468602170242314</v>
      </c>
      <c r="AD32" s="4">
        <f t="shared" si="14"/>
        <v>-2.397156530500333</v>
      </c>
      <c r="AE32" s="4"/>
    </row>
    <row r="33" spans="12:31" ht="12.75">
      <c r="L33" s="1">
        <f t="shared" si="7"/>
        <v>63.49415170683818</v>
      </c>
      <c r="M33" s="2">
        <v>125</v>
      </c>
      <c r="N33" s="4">
        <f t="shared" si="0"/>
        <v>-0.5224215430338188</v>
      </c>
      <c r="O33" s="4">
        <f t="shared" si="1"/>
        <v>-0.45145809856154717</v>
      </c>
      <c r="P33" s="4">
        <f t="shared" si="2"/>
        <v>-0.07419694066691174</v>
      </c>
      <c r="Q33" s="4">
        <f t="shared" si="3"/>
        <v>0.003156055439610481</v>
      </c>
      <c r="R33" s="4">
        <f t="shared" si="4"/>
        <v>7.744075502959945E-05</v>
      </c>
      <c r="S33" s="5"/>
      <c r="T33" s="4">
        <f t="shared" si="8"/>
        <v>-0.07096344447227165</v>
      </c>
      <c r="U33" s="4">
        <f t="shared" si="9"/>
        <v>0.003233496194640084</v>
      </c>
      <c r="V33" s="5"/>
      <c r="W33" s="5"/>
      <c r="X33" s="4">
        <f t="shared" si="5"/>
        <v>-0.22416179613127496</v>
      </c>
      <c r="Y33" s="4">
        <f t="shared" si="6"/>
        <v>0.4259590630302758</v>
      </c>
      <c r="Z33" s="4">
        <f t="shared" si="10"/>
        <v>0.4813414943908636</v>
      </c>
      <c r="AA33" s="4">
        <f t="shared" si="11"/>
        <v>117.75567713265104</v>
      </c>
      <c r="AB33" s="4">
        <f t="shared" si="12"/>
        <v>117.75567713265104</v>
      </c>
      <c r="AC33" s="4">
        <f t="shared" si="13"/>
        <v>0.0025025572302449523</v>
      </c>
      <c r="AD33" s="4">
        <f t="shared" si="14"/>
        <v>-2.8889467974723915</v>
      </c>
      <c r="AE33" s="4"/>
    </row>
    <row r="34" spans="12:31" ht="12.75">
      <c r="L34" s="1">
        <f t="shared" si="7"/>
        <v>65.73514659045355</v>
      </c>
      <c r="M34" s="2">
        <v>130</v>
      </c>
      <c r="N34" s="4">
        <f t="shared" si="0"/>
        <v>-0.5396883292175245</v>
      </c>
      <c r="O34" s="4">
        <f t="shared" si="1"/>
        <v>-0.5059337407480266</v>
      </c>
      <c r="P34" s="4">
        <f t="shared" si="2"/>
        <v>-0.037670774036844844</v>
      </c>
      <c r="Q34" s="4">
        <f t="shared" si="3"/>
        <v>0.003871475126584239</v>
      </c>
      <c r="R34" s="4">
        <f t="shared" si="4"/>
        <v>4.4710440762587206E-05</v>
      </c>
      <c r="S34" s="5"/>
      <c r="T34" s="4">
        <f t="shared" si="8"/>
        <v>-0.03375458846949797</v>
      </c>
      <c r="U34" s="4">
        <f t="shared" si="9"/>
        <v>0.0039161855673468735</v>
      </c>
      <c r="V34" s="5"/>
      <c r="W34" s="5"/>
      <c r="X34" s="4">
        <f t="shared" si="5"/>
        <v>-0.20543877218052403</v>
      </c>
      <c r="Y34" s="4">
        <f t="shared" si="6"/>
        <v>0.39834311042186854</v>
      </c>
      <c r="Z34" s="4">
        <f t="shared" si="10"/>
        <v>0.4481989767230735</v>
      </c>
      <c r="AA34" s="4">
        <f t="shared" si="11"/>
        <v>117.281661101084</v>
      </c>
      <c r="AB34" s="4">
        <f t="shared" si="12"/>
        <v>117.281661101084</v>
      </c>
      <c r="AC34" s="4">
        <f t="shared" si="13"/>
        <v>0.002538374998239979</v>
      </c>
      <c r="AD34" s="4">
        <f t="shared" si="14"/>
        <v>-3.3142517667790083</v>
      </c>
      <c r="AE34" s="4"/>
    </row>
    <row r="35" spans="12:31" ht="12.75">
      <c r="L35" s="1">
        <f t="shared" si="7"/>
        <v>67.79263380278695</v>
      </c>
      <c r="M35" s="2">
        <v>135</v>
      </c>
      <c r="N35" s="4">
        <f t="shared" si="0"/>
        <v>-0.5524389838998638</v>
      </c>
      <c r="O35" s="4">
        <f t="shared" si="1"/>
        <v>-0.5565589216762681</v>
      </c>
      <c r="P35" s="4">
        <f t="shared" si="2"/>
        <v>-3.986706733108564E-17</v>
      </c>
      <c r="Q35" s="4">
        <f t="shared" si="3"/>
        <v>0.004119937776404315</v>
      </c>
      <c r="R35" s="4">
        <f t="shared" si="4"/>
        <v>2.0814262915915286E-19</v>
      </c>
      <c r="S35" s="5"/>
      <c r="T35" s="4">
        <f t="shared" si="8"/>
        <v>0.004119937776404292</v>
      </c>
      <c r="U35" s="4">
        <f t="shared" si="9"/>
        <v>0.004119937776404332</v>
      </c>
      <c r="V35" s="5"/>
      <c r="W35" s="5"/>
      <c r="X35" s="4">
        <f t="shared" si="5"/>
        <v>-0.1847434576828591</v>
      </c>
      <c r="Y35" s="4">
        <f t="shared" si="6"/>
        <v>0.36769552621700474</v>
      </c>
      <c r="Z35" s="4">
        <f t="shared" si="10"/>
        <v>0.4114974424666797</v>
      </c>
      <c r="AA35" s="4">
        <f t="shared" si="11"/>
        <v>116.67659889850341</v>
      </c>
      <c r="AB35" s="4">
        <f t="shared" si="12"/>
        <v>116.67659889850341</v>
      </c>
      <c r="AC35" s="4">
        <f t="shared" si="13"/>
        <v>0.0025734265172585</v>
      </c>
      <c r="AD35" s="4">
        <f t="shared" si="14"/>
        <v>-3.6701534256393833</v>
      </c>
      <c r="AE35" s="4"/>
    </row>
    <row r="36" spans="12:31" ht="12.75">
      <c r="L36" s="1">
        <f t="shared" si="7"/>
        <v>69.65224995596024</v>
      </c>
      <c r="M36" s="2">
        <v>140</v>
      </c>
      <c r="N36" s="4">
        <f t="shared" si="0"/>
        <v>-0.5614508144284218</v>
      </c>
      <c r="O36" s="4">
        <f t="shared" si="1"/>
        <v>-0.6029483531510882</v>
      </c>
      <c r="P36" s="4">
        <f t="shared" si="2"/>
        <v>0.03767077403684477</v>
      </c>
      <c r="Q36" s="4">
        <f t="shared" si="3"/>
        <v>0.0038714751265842397</v>
      </c>
      <c r="R36" s="4">
        <f t="shared" si="4"/>
        <v>-4.4710440762587124E-05</v>
      </c>
      <c r="S36" s="5"/>
      <c r="T36" s="4">
        <f t="shared" si="8"/>
        <v>0.04149753872266637</v>
      </c>
      <c r="U36" s="4">
        <f t="shared" si="9"/>
        <v>0.0038267646858216042</v>
      </c>
      <c r="V36" s="5"/>
      <c r="W36" s="5"/>
      <c r="X36" s="4">
        <f t="shared" si="5"/>
        <v>-0.16310770400655328</v>
      </c>
      <c r="Y36" s="4">
        <f t="shared" si="6"/>
        <v>0.3342495570370005</v>
      </c>
      <c r="Z36" s="4">
        <f t="shared" si="10"/>
        <v>0.37192323063465726</v>
      </c>
      <c r="AA36" s="4">
        <f t="shared" si="11"/>
        <v>116.01153417786657</v>
      </c>
      <c r="AB36" s="4">
        <f t="shared" si="12"/>
        <v>116.01153417786657</v>
      </c>
      <c r="AC36" s="4">
        <f t="shared" si="13"/>
        <v>0.002605493314505775</v>
      </c>
      <c r="AD36" s="4">
        <f t="shared" si="14"/>
        <v>-3.957421183202242</v>
      </c>
      <c r="AE36" s="4"/>
    </row>
    <row r="37" spans="12:31" ht="12.75">
      <c r="L37" s="1">
        <f t="shared" si="7"/>
        <v>71.30289522510627</v>
      </c>
      <c r="M37" s="2">
        <v>145</v>
      </c>
      <c r="N37" s="4">
        <f t="shared" si="0"/>
        <v>-0.5674734282367664</v>
      </c>
      <c r="O37" s="4">
        <f t="shared" si="1"/>
        <v>-0.6447489835882588</v>
      </c>
      <c r="P37" s="4">
        <f t="shared" si="2"/>
        <v>0.07419694066691147</v>
      </c>
      <c r="Q37" s="4">
        <f t="shared" si="3"/>
        <v>0.003156055439610487</v>
      </c>
      <c r="R37" s="4">
        <f t="shared" si="4"/>
        <v>-7.744075502959939E-05</v>
      </c>
      <c r="S37" s="5"/>
      <c r="T37" s="4">
        <f t="shared" si="8"/>
        <v>0.07727555535149244</v>
      </c>
      <c r="U37" s="4">
        <f t="shared" si="9"/>
        <v>0.0030786146845809687</v>
      </c>
      <c r="V37" s="5"/>
      <c r="W37" s="5"/>
      <c r="X37" s="4">
        <f t="shared" si="5"/>
        <v>-0.14151436520649074</v>
      </c>
      <c r="Y37" s="4">
        <f t="shared" si="6"/>
        <v>0.29825974690254414</v>
      </c>
      <c r="Z37" s="4">
        <f t="shared" si="10"/>
        <v>0.3301290538292044</v>
      </c>
      <c r="AA37" s="4">
        <f t="shared" si="11"/>
        <v>115.38278955890894</v>
      </c>
      <c r="AB37" s="4">
        <f t="shared" si="12"/>
        <v>115.38278955890894</v>
      </c>
      <c r="AC37" s="4">
        <f t="shared" si="13"/>
        <v>0.0026330945675054405</v>
      </c>
      <c r="AD37" s="4">
        <f t="shared" si="14"/>
        <v>-4.1794176805452885</v>
      </c>
      <c r="AE37" s="4"/>
    </row>
    <row r="38" spans="12:31" ht="12.75">
      <c r="L38" s="1">
        <f t="shared" si="7"/>
        <v>72.73650621512327</v>
      </c>
      <c r="M38" s="2">
        <v>150</v>
      </c>
      <c r="N38" s="4">
        <f t="shared" si="0"/>
        <v>-0.5712034661432878</v>
      </c>
      <c r="O38" s="4">
        <f t="shared" si="1"/>
        <v>-0.6816426849502426</v>
      </c>
      <c r="P38" s="4">
        <f t="shared" si="2"/>
        <v>0.10846867080027785</v>
      </c>
      <c r="Q38" s="4">
        <f t="shared" si="3"/>
        <v>0.002059968888202157</v>
      </c>
      <c r="R38" s="4">
        <f t="shared" si="4"/>
        <v>-8.942088152517415E-05</v>
      </c>
      <c r="S38" s="5"/>
      <c r="T38" s="4">
        <f t="shared" si="8"/>
        <v>0.11043921880695484</v>
      </c>
      <c r="U38" s="4">
        <f t="shared" si="9"/>
        <v>0.001970548006676995</v>
      </c>
      <c r="V38" s="5"/>
      <c r="W38" s="5"/>
      <c r="X38" s="4">
        <f t="shared" si="5"/>
        <v>-0.12087025617537961</v>
      </c>
      <c r="Y38" s="4">
        <f t="shared" si="6"/>
        <v>0.25999999999999995</v>
      </c>
      <c r="Z38" s="4">
        <f t="shared" si="10"/>
        <v>0.28672219800340165</v>
      </c>
      <c r="AA38" s="4">
        <f t="shared" si="11"/>
        <v>114.93303812209888</v>
      </c>
      <c r="AB38" s="4">
        <f t="shared" si="12"/>
        <v>114.93303812209888</v>
      </c>
      <c r="AC38" s="4">
        <f t="shared" si="13"/>
        <v>0.002655600595381222</v>
      </c>
      <c r="AD38" s="4">
        <f t="shared" si="14"/>
        <v>-4.340685582580273</v>
      </c>
      <c r="AE38" s="4"/>
    </row>
    <row r="39" spans="12:31" ht="12.75">
      <c r="L39" s="1">
        <f t="shared" si="7"/>
        <v>73.94787178232782</v>
      </c>
      <c r="M39" s="2">
        <v>155</v>
      </c>
      <c r="N39" s="4">
        <f t="shared" si="0"/>
        <v>-0.5732660597015309</v>
      </c>
      <c r="O39" s="4">
        <f t="shared" si="1"/>
        <v>-0.7133486738926484</v>
      </c>
      <c r="P39" s="4">
        <f t="shared" si="2"/>
        <v>0.1394446352591734</v>
      </c>
      <c r="Q39" s="4">
        <f t="shared" si="3"/>
        <v>0.0007154196869737555</v>
      </c>
      <c r="R39" s="4">
        <f t="shared" si="4"/>
        <v>-7.744075502959945E-05</v>
      </c>
      <c r="S39" s="5"/>
      <c r="T39" s="4">
        <f t="shared" si="8"/>
        <v>0.14008261419111756</v>
      </c>
      <c r="U39" s="4">
        <f t="shared" si="9"/>
        <v>0.000637978931944172</v>
      </c>
      <c r="V39" s="5"/>
      <c r="W39" s="5"/>
      <c r="X39" s="4">
        <f t="shared" si="5"/>
        <v>-0.10198601044247291</v>
      </c>
      <c r="Y39" s="4">
        <f t="shared" si="6"/>
        <v>0.21976149610516374</v>
      </c>
      <c r="Z39" s="4">
        <f t="shared" si="10"/>
        <v>0.2422731134409101</v>
      </c>
      <c r="AA39" s="4">
        <f t="shared" si="11"/>
        <v>114.8948775847028</v>
      </c>
      <c r="AB39" s="4">
        <f t="shared" si="12"/>
        <v>114.8948775847028</v>
      </c>
      <c r="AC39" s="4">
        <f t="shared" si="13"/>
        <v>0.002673148745180329</v>
      </c>
      <c r="AD39" s="4">
        <f t="shared" si="14"/>
        <v>-4.444908456249156</v>
      </c>
      <c r="AE39" s="4"/>
    </row>
    <row r="40" spans="12:31" ht="12.75">
      <c r="L40" s="1">
        <f t="shared" si="7"/>
        <v>74.93468030184425</v>
      </c>
      <c r="M40" s="2">
        <v>160</v>
      </c>
      <c r="N40" s="4">
        <f aca="true" t="shared" si="15" ref="N40:N71">(SUM(O40:R40))</f>
        <v>-0.5742021337846526</v>
      </c>
      <c r="O40" s="4">
        <f aca="true" t="shared" si="16" ref="O40:O71">COS(M40*PI()/180)/$N$6</f>
        <v>-0.7396256486950253</v>
      </c>
      <c r="P40" s="4">
        <f aca="true" t="shared" si="17" ref="P40:P71">$I$2/$J$2*COS(2*M40*PI()/180)/$N$6</f>
        <v>0.1661836450381091</v>
      </c>
      <c r="Q40" s="4">
        <f aca="true" t="shared" si="18" ref="Q40:Q71">-1/4*($I$2/$J$2)^3*COS(4*M40*PI()/180)/$N$6</f>
        <v>-0.0007154196869737519</v>
      </c>
      <c r="R40" s="4">
        <f aca="true" t="shared" si="19" ref="R40:R71">1/14*($I$2/$J$2)^5*COS(6*M40*PI()/180)/$N$6</f>
        <v>-4.471044076258721E-05</v>
      </c>
      <c r="S40" s="5"/>
      <c r="T40" s="4">
        <f t="shared" si="8"/>
        <v>0.16542351491037277</v>
      </c>
      <c r="U40" s="4">
        <f t="shared" si="9"/>
        <v>-0.0007601301277363193</v>
      </c>
      <c r="V40" s="5"/>
      <c r="W40" s="5"/>
      <c r="X40" s="4">
        <f aca="true" t="shared" si="20" ref="X40:X71">N40-COS(M40*PI()/180)*H$2/100</f>
        <v>-0.08556197097598023</v>
      </c>
      <c r="Y40" s="4">
        <f aca="true" t="shared" si="21" ref="Y40:Y71">SIN(M40*PI()/180)*H$2/100</f>
        <v>0.17785047452934782</v>
      </c>
      <c r="Z40" s="4">
        <f t="shared" si="10"/>
        <v>0.1973617039032869</v>
      </c>
      <c r="AA40" s="4">
        <f t="shared" si="11"/>
        <v>115.69171226361662</v>
      </c>
      <c r="AB40" s="4">
        <f t="shared" si="12"/>
        <v>115.69171226361662</v>
      </c>
      <c r="AC40" s="4">
        <f t="shared" si="13"/>
        <v>0.00268642672173181</v>
      </c>
      <c r="AD40" s="4">
        <f t="shared" si="14"/>
        <v>-4.491140953762321</v>
      </c>
      <c r="AE40" s="4"/>
    </row>
    <row r="41" spans="12:31" ht="12.75">
      <c r="L41" s="1">
        <f aca="true" t="shared" si="22" ref="L41:L72">Z41*5+L40</f>
        <v>75.69827642110668</v>
      </c>
      <c r="M41" s="2">
        <v>165</v>
      </c>
      <c r="N41" s="4">
        <f t="shared" si="15"/>
        <v>-0.5744603457453141</v>
      </c>
      <c r="O41" s="4">
        <f t="shared" si="16"/>
        <v>-0.7602736257126559</v>
      </c>
      <c r="P41" s="4">
        <f t="shared" si="17"/>
        <v>0.18787324885554385</v>
      </c>
      <c r="Q41" s="4">
        <f t="shared" si="18"/>
        <v>-0.002059968888202154</v>
      </c>
      <c r="R41" s="4">
        <f t="shared" si="19"/>
        <v>9.858877432201897E-20</v>
      </c>
      <c r="S41" s="5"/>
      <c r="T41" s="4">
        <f t="shared" si="8"/>
        <v>0.18581327996734176</v>
      </c>
      <c r="U41" s="4">
        <f t="shared" si="9"/>
        <v>-0.0020599688882020906</v>
      </c>
      <c r="V41" s="5"/>
      <c r="W41" s="5"/>
      <c r="X41" s="4">
        <f t="shared" si="20"/>
        <v>-0.07217891607499871</v>
      </c>
      <c r="Y41" s="4">
        <f t="shared" si="21"/>
        <v>0.13458590345331092</v>
      </c>
      <c r="Z41" s="4">
        <f t="shared" si="10"/>
        <v>0.15271922385248568</v>
      </c>
      <c r="AA41" s="4">
        <f t="shared" si="11"/>
        <v>118.20482330184788</v>
      </c>
      <c r="AB41" s="4">
        <f t="shared" si="12"/>
        <v>118.20482330184788</v>
      </c>
      <c r="AC41" s="4">
        <f t="shared" si="13"/>
        <v>0.0026964107768957055</v>
      </c>
      <c r="AD41" s="4">
        <f t="shared" si="14"/>
        <v>-4.464248005080121</v>
      </c>
      <c r="AE41" s="4"/>
    </row>
    <row r="42" spans="12:31" ht="12.75">
      <c r="L42" s="1">
        <f t="shared" si="22"/>
        <v>76.24677198289791</v>
      </c>
      <c r="M42" s="2">
        <v>170</v>
      </c>
      <c r="N42" s="4">
        <f t="shared" si="15"/>
        <v>-0.5743923872967407</v>
      </c>
      <c r="O42" s="4">
        <f t="shared" si="16"/>
        <v>-0.7751354613728468</v>
      </c>
      <c r="P42" s="4">
        <f t="shared" si="17"/>
        <v>0.20385441907495402</v>
      </c>
      <c r="Q42" s="4">
        <f t="shared" si="18"/>
        <v>-0.0031560554396104852</v>
      </c>
      <c r="R42" s="4">
        <f t="shared" si="19"/>
        <v>4.471044076258712E-05</v>
      </c>
      <c r="S42" s="5"/>
      <c r="T42" s="4">
        <f t="shared" si="8"/>
        <v>0.20074307407610614</v>
      </c>
      <c r="U42" s="4">
        <f t="shared" si="9"/>
        <v>-0.0031113449988478814</v>
      </c>
      <c r="V42" s="5"/>
      <c r="W42" s="5"/>
      <c r="X42" s="4">
        <f t="shared" si="20"/>
        <v>-0.06229235573039249</v>
      </c>
      <c r="Y42" s="4">
        <f t="shared" si="21"/>
        <v>0.09029705238680374</v>
      </c>
      <c r="Z42" s="4">
        <f t="shared" si="10"/>
        <v>0.10969911235824537</v>
      </c>
      <c r="AA42" s="4">
        <f t="shared" si="11"/>
        <v>124.60025440617925</v>
      </c>
      <c r="AB42" s="4">
        <f t="shared" si="12"/>
        <v>124.60025440617925</v>
      </c>
      <c r="AC42" s="4">
        <f t="shared" si="13"/>
        <v>0.002704140628062645</v>
      </c>
      <c r="AD42" s="4">
        <f t="shared" si="14"/>
        <v>-4.302011149424032</v>
      </c>
      <c r="AE42" s="4"/>
    </row>
    <row r="43" spans="12:31" ht="12.75">
      <c r="L43" s="1">
        <f t="shared" si="22"/>
        <v>76.60787175700447</v>
      </c>
      <c r="M43" s="2">
        <v>175</v>
      </c>
      <c r="N43" s="4">
        <f t="shared" si="15"/>
        <v>-0.5742505065778717</v>
      </c>
      <c r="O43" s="4">
        <f t="shared" si="16"/>
        <v>-0.784098048132402</v>
      </c>
      <c r="P43" s="4">
        <f t="shared" si="17"/>
        <v>0.213641575926085</v>
      </c>
      <c r="Q43" s="4">
        <f t="shared" si="18"/>
        <v>-0.0038714751265842362</v>
      </c>
      <c r="R43" s="4">
        <f t="shared" si="19"/>
        <v>7.744075502959939E-05</v>
      </c>
      <c r="S43" s="5"/>
      <c r="T43" s="4">
        <f t="shared" si="8"/>
        <v>0.20984754155453034</v>
      </c>
      <c r="U43" s="4">
        <f t="shared" si="9"/>
        <v>-0.00379403437155465</v>
      </c>
      <c r="V43" s="5"/>
      <c r="W43" s="5"/>
      <c r="X43" s="4">
        <f t="shared" si="20"/>
        <v>-0.056229263570164</v>
      </c>
      <c r="Y43" s="4">
        <f t="shared" si="21"/>
        <v>0.04532098622878249</v>
      </c>
      <c r="Z43" s="4">
        <f t="shared" si="10"/>
        <v>0.07221995482131281</v>
      </c>
      <c r="AA43" s="4">
        <f t="shared" si="11"/>
        <v>141.13106228591516</v>
      </c>
      <c r="AB43" s="4">
        <f t="shared" si="12"/>
        <v>141.13106228591516</v>
      </c>
      <c r="AC43" s="4">
        <f t="shared" si="13"/>
        <v>0.0027105854652018564</v>
      </c>
      <c r="AD43" s="4">
        <f t="shared" si="14"/>
        <v>-3.7479157536932552</v>
      </c>
      <c r="AE43" s="4"/>
    </row>
    <row r="44" spans="12:31" ht="12.75">
      <c r="L44" s="1">
        <f t="shared" si="22"/>
        <v>76.87880350994772</v>
      </c>
      <c r="M44" s="2">
        <v>180</v>
      </c>
      <c r="N44" s="4">
        <f t="shared" si="15"/>
        <v>-0.5741863505886471</v>
      </c>
      <c r="O44" s="4">
        <f t="shared" si="16"/>
        <v>-0.7870931752943237</v>
      </c>
      <c r="P44" s="4">
        <f t="shared" si="17"/>
        <v>0.21693734160055564</v>
      </c>
      <c r="Q44" s="4">
        <f t="shared" si="18"/>
        <v>-0.004119937776404315</v>
      </c>
      <c r="R44" s="4">
        <f t="shared" si="19"/>
        <v>8.942088152517415E-05</v>
      </c>
      <c r="S44" s="5"/>
      <c r="T44" s="4">
        <f t="shared" si="8"/>
        <v>0.21290682470567657</v>
      </c>
      <c r="U44" s="4">
        <f t="shared" si="9"/>
        <v>-0.0040305168948790715</v>
      </c>
      <c r="V44" s="5"/>
      <c r="W44" s="5"/>
      <c r="X44" s="4">
        <f t="shared" si="20"/>
        <v>-0.05418635058864707</v>
      </c>
      <c r="Y44" s="4">
        <f t="shared" si="21"/>
        <v>6.370771965524824E-17</v>
      </c>
      <c r="Z44" s="4">
        <f t="shared" si="10"/>
        <v>0.05418635058864707</v>
      </c>
      <c r="AA44" s="4">
        <f t="shared" si="11"/>
        <v>179.99999999999991</v>
      </c>
      <c r="AB44" s="4">
        <f t="shared" si="12"/>
        <v>179.99999999999991</v>
      </c>
      <c r="AC44" s="4">
        <f t="shared" si="13"/>
        <v>0.0027166163149561487</v>
      </c>
      <c r="AD44" s="4">
        <f t="shared" si="14"/>
        <v>-1.8033604232665743</v>
      </c>
      <c r="AE44" s="4"/>
    </row>
    <row r="45" spans="12:31" ht="12.75">
      <c r="L45" s="1">
        <f t="shared" si="22"/>
        <v>77.23990328405428</v>
      </c>
      <c r="M45" s="2">
        <v>185</v>
      </c>
      <c r="N45" s="4">
        <f t="shared" si="15"/>
        <v>-0.5742505065778717</v>
      </c>
      <c r="O45" s="4">
        <f t="shared" si="16"/>
        <v>-0.784098048132402</v>
      </c>
      <c r="P45" s="4">
        <f t="shared" si="17"/>
        <v>0.21364157592608501</v>
      </c>
      <c r="Q45" s="4">
        <f t="shared" si="18"/>
        <v>-0.0038714751265842397</v>
      </c>
      <c r="R45" s="4">
        <f t="shared" si="19"/>
        <v>7.74407550295993E-05</v>
      </c>
      <c r="S45" s="5"/>
      <c r="T45" s="4">
        <f t="shared" si="8"/>
        <v>0.20984754155453034</v>
      </c>
      <c r="U45" s="4">
        <f t="shared" si="9"/>
        <v>-0.0037940343715546776</v>
      </c>
      <c r="V45" s="5"/>
      <c r="W45" s="5"/>
      <c r="X45" s="4">
        <f t="shared" si="20"/>
        <v>-0.056229263570164</v>
      </c>
      <c r="Y45" s="4">
        <f t="shared" si="21"/>
        <v>-0.04532098622878213</v>
      </c>
      <c r="Z45" s="4">
        <f t="shared" si="10"/>
        <v>0.07221995482131259</v>
      </c>
      <c r="AA45" s="4">
        <f t="shared" si="11"/>
        <v>-141.1310622859154</v>
      </c>
      <c r="AB45" s="4">
        <f t="shared" si="12"/>
        <v>218.8689377140846</v>
      </c>
      <c r="AC45" s="4"/>
      <c r="AD45" s="4">
        <f t="shared" si="14"/>
        <v>1.803360423266552</v>
      </c>
      <c r="AE45" s="4"/>
    </row>
    <row r="46" spans="12:31" ht="12.75">
      <c r="L46" s="1">
        <f t="shared" si="22"/>
        <v>77.7883988458455</v>
      </c>
      <c r="M46" s="2">
        <v>190</v>
      </c>
      <c r="N46" s="4">
        <f t="shared" si="15"/>
        <v>-0.5743923872967408</v>
      </c>
      <c r="O46" s="4">
        <f t="shared" si="16"/>
        <v>-0.7751354613728468</v>
      </c>
      <c r="P46" s="4">
        <f t="shared" si="17"/>
        <v>0.20385441907495397</v>
      </c>
      <c r="Q46" s="4">
        <f t="shared" si="18"/>
        <v>-0.003156055439610482</v>
      </c>
      <c r="R46" s="4">
        <f t="shared" si="19"/>
        <v>4.4710440762586955E-05</v>
      </c>
      <c r="S46" s="5"/>
      <c r="T46" s="4">
        <f t="shared" si="8"/>
        <v>0.20074307407610603</v>
      </c>
      <c r="U46" s="4">
        <f t="shared" si="9"/>
        <v>-0.003111344998847937</v>
      </c>
      <c r="V46" s="5"/>
      <c r="W46" s="5"/>
      <c r="X46" s="4">
        <f t="shared" si="20"/>
        <v>-0.0622923557303926</v>
      </c>
      <c r="Y46" s="4">
        <f t="shared" si="21"/>
        <v>-0.09029705238680384</v>
      </c>
      <c r="Z46" s="4">
        <f t="shared" si="10"/>
        <v>0.10969911235824552</v>
      </c>
      <c r="AA46" s="4">
        <f t="shared" si="11"/>
        <v>-124.60025440617925</v>
      </c>
      <c r="AB46" s="4">
        <f t="shared" si="12"/>
        <v>235.39974559382074</v>
      </c>
      <c r="AC46" s="4"/>
      <c r="AD46" s="4">
        <f t="shared" si="14"/>
        <v>3.7479157536932926</v>
      </c>
      <c r="AE46" s="4"/>
    </row>
    <row r="47" spans="12:31" ht="12.75">
      <c r="L47" s="1">
        <f t="shared" si="22"/>
        <v>78.55199496510794</v>
      </c>
      <c r="M47" s="2">
        <v>195</v>
      </c>
      <c r="N47" s="4">
        <f t="shared" si="15"/>
        <v>-0.5744603457453143</v>
      </c>
      <c r="O47" s="4">
        <f t="shared" si="16"/>
        <v>-0.7602736257126561</v>
      </c>
      <c r="P47" s="4">
        <f t="shared" si="17"/>
        <v>0.18787324885554396</v>
      </c>
      <c r="Q47" s="4">
        <f t="shared" si="18"/>
        <v>-0.0020599688882021634</v>
      </c>
      <c r="R47" s="4">
        <f t="shared" si="19"/>
        <v>-8.763338883830559E-20</v>
      </c>
      <c r="S47" s="5"/>
      <c r="T47" s="4">
        <f t="shared" si="8"/>
        <v>0.18581327996734176</v>
      </c>
      <c r="U47" s="4">
        <f t="shared" si="9"/>
        <v>-0.0020599688882022016</v>
      </c>
      <c r="V47" s="5"/>
      <c r="W47" s="5"/>
      <c r="X47" s="4">
        <f t="shared" si="20"/>
        <v>-0.07217891607499871</v>
      </c>
      <c r="Y47" s="4">
        <f t="shared" si="21"/>
        <v>-0.1345859034533106</v>
      </c>
      <c r="Z47" s="4">
        <f t="shared" si="10"/>
        <v>0.1527192238524854</v>
      </c>
      <c r="AA47" s="4">
        <f t="shared" si="11"/>
        <v>-118.20482330184797</v>
      </c>
      <c r="AB47" s="4">
        <f t="shared" si="12"/>
        <v>241.79517669815203</v>
      </c>
      <c r="AC47" s="4"/>
      <c r="AD47" s="4">
        <f t="shared" si="14"/>
        <v>4.302011149423988</v>
      </c>
      <c r="AE47" s="4"/>
    </row>
    <row r="48" spans="12:31" ht="12.75">
      <c r="L48" s="1">
        <f t="shared" si="22"/>
        <v>79.53880348462437</v>
      </c>
      <c r="M48" s="2">
        <v>200</v>
      </c>
      <c r="N48" s="4">
        <f t="shared" si="15"/>
        <v>-0.5742021337846525</v>
      </c>
      <c r="O48" s="4">
        <f t="shared" si="16"/>
        <v>-0.7396256486950253</v>
      </c>
      <c r="P48" s="4">
        <f t="shared" si="17"/>
        <v>0.16618364503810917</v>
      </c>
      <c r="Q48" s="4">
        <f t="shared" si="18"/>
        <v>-0.0007154196869737559</v>
      </c>
      <c r="R48" s="4">
        <f t="shared" si="19"/>
        <v>-4.471044076258711E-05</v>
      </c>
      <c r="S48" s="5"/>
      <c r="T48" s="4">
        <f t="shared" si="8"/>
        <v>0.16542351491037288</v>
      </c>
      <c r="U48" s="4">
        <f t="shared" si="9"/>
        <v>-0.0007601301277362915</v>
      </c>
      <c r="V48" s="5"/>
      <c r="W48" s="5"/>
      <c r="X48" s="4">
        <f t="shared" si="20"/>
        <v>-0.08556197097598006</v>
      </c>
      <c r="Y48" s="4">
        <f t="shared" si="21"/>
        <v>-0.17785047452934769</v>
      </c>
      <c r="Z48" s="4">
        <f t="shared" si="10"/>
        <v>0.1973617039032867</v>
      </c>
      <c r="AA48" s="4">
        <f t="shared" si="11"/>
        <v>-115.69171226361657</v>
      </c>
      <c r="AB48" s="4">
        <f t="shared" si="12"/>
        <v>244.30828773638342</v>
      </c>
      <c r="AC48" s="4"/>
      <c r="AD48" s="4">
        <f t="shared" si="14"/>
        <v>4.46424800508013</v>
      </c>
      <c r="AE48" s="4"/>
    </row>
    <row r="49" spans="12:31" ht="12.75">
      <c r="L49" s="1">
        <f t="shared" si="22"/>
        <v>80.75016905182892</v>
      </c>
      <c r="M49" s="2">
        <v>205</v>
      </c>
      <c r="N49" s="4">
        <f t="shared" si="15"/>
        <v>-0.5732660597015309</v>
      </c>
      <c r="O49" s="4">
        <f t="shared" si="16"/>
        <v>-0.7133486738926486</v>
      </c>
      <c r="P49" s="4">
        <f t="shared" si="17"/>
        <v>0.13944463525917347</v>
      </c>
      <c r="Q49" s="4">
        <f t="shared" si="18"/>
        <v>0.0007154196869737514</v>
      </c>
      <c r="R49" s="4">
        <f t="shared" si="19"/>
        <v>-7.744075502959939E-05</v>
      </c>
      <c r="S49" s="5"/>
      <c r="T49" s="4">
        <f t="shared" si="8"/>
        <v>0.14008261419111767</v>
      </c>
      <c r="U49" s="4">
        <f t="shared" si="9"/>
        <v>0.0006379789319441997</v>
      </c>
      <c r="V49" s="5"/>
      <c r="W49" s="5"/>
      <c r="X49" s="4">
        <f t="shared" si="20"/>
        <v>-0.10198601044247291</v>
      </c>
      <c r="Y49" s="4">
        <f t="shared" si="21"/>
        <v>-0.21976149610516363</v>
      </c>
      <c r="Z49" s="4">
        <f t="shared" si="10"/>
        <v>0.24227311344091</v>
      </c>
      <c r="AA49" s="4">
        <f t="shared" si="11"/>
        <v>-114.89487758470281</v>
      </c>
      <c r="AB49" s="4">
        <f t="shared" si="12"/>
        <v>245.1051224152972</v>
      </c>
      <c r="AC49" s="4"/>
      <c r="AD49" s="4">
        <f t="shared" si="14"/>
        <v>4.491140953762329</v>
      </c>
      <c r="AE49" s="4"/>
    </row>
    <row r="50" spans="12:31" ht="12.75">
      <c r="L50" s="1">
        <f t="shared" si="22"/>
        <v>82.18378004184594</v>
      </c>
      <c r="M50" s="2">
        <v>210</v>
      </c>
      <c r="N50" s="4">
        <f t="shared" si="15"/>
        <v>-0.5712034661432878</v>
      </c>
      <c r="O50" s="4">
        <f t="shared" si="16"/>
        <v>-0.6816426849502425</v>
      </c>
      <c r="P50" s="4">
        <f t="shared" si="17"/>
        <v>0.10846867080027775</v>
      </c>
      <c r="Q50" s="4">
        <f t="shared" si="18"/>
        <v>0.00205996888820216</v>
      </c>
      <c r="R50" s="4">
        <f t="shared" si="19"/>
        <v>-8.942088152517415E-05</v>
      </c>
      <c r="S50" s="5"/>
      <c r="T50" s="4">
        <f t="shared" si="8"/>
        <v>0.11043921880695473</v>
      </c>
      <c r="U50" s="4">
        <f t="shared" si="9"/>
        <v>0.001970548006676981</v>
      </c>
      <c r="V50" s="5"/>
      <c r="W50" s="5"/>
      <c r="X50" s="4">
        <f t="shared" si="20"/>
        <v>-0.12087025617537972</v>
      </c>
      <c r="Y50" s="4">
        <f t="shared" si="21"/>
        <v>-0.26000000000000006</v>
      </c>
      <c r="Z50" s="4">
        <f t="shared" si="10"/>
        <v>0.2867221980034018</v>
      </c>
      <c r="AA50" s="4">
        <f t="shared" si="11"/>
        <v>-114.93303812209888</v>
      </c>
      <c r="AB50" s="4">
        <f t="shared" si="12"/>
        <v>245.06696187790112</v>
      </c>
      <c r="AC50" s="4"/>
      <c r="AD50" s="4">
        <f t="shared" si="14"/>
        <v>4.444908456249183</v>
      </c>
      <c r="AE50" s="4"/>
    </row>
    <row r="51" spans="12:31" ht="12.75">
      <c r="L51" s="1">
        <f t="shared" si="22"/>
        <v>83.83442531099196</v>
      </c>
      <c r="M51" s="2">
        <v>215</v>
      </c>
      <c r="N51" s="4">
        <f t="shared" si="15"/>
        <v>-0.5674734282367665</v>
      </c>
      <c r="O51" s="4">
        <f t="shared" si="16"/>
        <v>-0.6447489835882592</v>
      </c>
      <c r="P51" s="4">
        <f t="shared" si="17"/>
        <v>0.07419694066691176</v>
      </c>
      <c r="Q51" s="4">
        <f t="shared" si="18"/>
        <v>0.0031560554396104796</v>
      </c>
      <c r="R51" s="4">
        <f t="shared" si="19"/>
        <v>-7.744075502959946E-05</v>
      </c>
      <c r="S51" s="5"/>
      <c r="T51" s="4">
        <f t="shared" si="8"/>
        <v>0.07727555535149266</v>
      </c>
      <c r="U51" s="4">
        <f t="shared" si="9"/>
        <v>0.0030786146845808993</v>
      </c>
      <c r="V51" s="5"/>
      <c r="W51" s="5"/>
      <c r="X51" s="4">
        <f t="shared" si="20"/>
        <v>-0.1415143652064907</v>
      </c>
      <c r="Y51" s="4">
        <f t="shared" si="21"/>
        <v>-0.29825974690254387</v>
      </c>
      <c r="Z51" s="4">
        <f t="shared" si="10"/>
        <v>0.3301290538292041</v>
      </c>
      <c r="AA51" s="4">
        <f t="shared" si="11"/>
        <v>-115.38278955890895</v>
      </c>
      <c r="AB51" s="4">
        <f t="shared" si="12"/>
        <v>244.61721044109106</v>
      </c>
      <c r="AC51" s="4"/>
      <c r="AD51" s="4">
        <f t="shared" si="14"/>
        <v>4.340685582580228</v>
      </c>
      <c r="AE51" s="4"/>
    </row>
    <row r="52" spans="12:31" ht="12.75">
      <c r="L52" s="1">
        <f t="shared" si="22"/>
        <v>85.69404146416525</v>
      </c>
      <c r="M52" s="2">
        <v>220</v>
      </c>
      <c r="N52" s="4">
        <f t="shared" si="15"/>
        <v>-0.5614508144284218</v>
      </c>
      <c r="O52" s="4">
        <f t="shared" si="16"/>
        <v>-0.6029483531510883</v>
      </c>
      <c r="P52" s="4">
        <f t="shared" si="17"/>
        <v>0.037670774036844865</v>
      </c>
      <c r="Q52" s="4">
        <f t="shared" si="18"/>
        <v>0.003871475126584238</v>
      </c>
      <c r="R52" s="4">
        <f t="shared" si="19"/>
        <v>-4.471044076258724E-05</v>
      </c>
      <c r="S52" s="5"/>
      <c r="T52" s="4">
        <f t="shared" si="8"/>
        <v>0.04149753872266648</v>
      </c>
      <c r="U52" s="4">
        <f t="shared" si="9"/>
        <v>0.003826764685821618</v>
      </c>
      <c r="V52" s="5"/>
      <c r="W52" s="5"/>
      <c r="X52" s="4">
        <f t="shared" si="20"/>
        <v>-0.16310770400655328</v>
      </c>
      <c r="Y52" s="4">
        <f t="shared" si="21"/>
        <v>-0.33424955703700043</v>
      </c>
      <c r="Z52" s="4">
        <f t="shared" si="10"/>
        <v>0.37192323063465715</v>
      </c>
      <c r="AA52" s="4">
        <f t="shared" si="11"/>
        <v>-116.01153417786657</v>
      </c>
      <c r="AB52" s="4">
        <f t="shared" si="12"/>
        <v>243.98846582213343</v>
      </c>
      <c r="AC52" s="4"/>
      <c r="AD52" s="4">
        <f t="shared" si="14"/>
        <v>4.179417680545305</v>
      </c>
      <c r="AE52" s="4"/>
    </row>
    <row r="53" spans="12:31" ht="12.75">
      <c r="L53" s="1">
        <f t="shared" si="22"/>
        <v>87.75152867649865</v>
      </c>
      <c r="M53" s="2">
        <v>225</v>
      </c>
      <c r="N53" s="4">
        <f t="shared" si="15"/>
        <v>-0.5524389838998639</v>
      </c>
      <c r="O53" s="4">
        <f t="shared" si="16"/>
        <v>-0.5565589216762683</v>
      </c>
      <c r="P53" s="4">
        <f t="shared" si="17"/>
        <v>6.644511221847606E-17</v>
      </c>
      <c r="Q53" s="4">
        <f t="shared" si="18"/>
        <v>0.004119937776404315</v>
      </c>
      <c r="R53" s="4">
        <f t="shared" si="19"/>
        <v>7.66780033545922E-20</v>
      </c>
      <c r="S53" s="5"/>
      <c r="T53" s="4">
        <f t="shared" si="8"/>
        <v>0.004119937776404403</v>
      </c>
      <c r="U53" s="4">
        <f t="shared" si="9"/>
        <v>0.004119937776404336</v>
      </c>
      <c r="V53" s="5"/>
      <c r="W53" s="5"/>
      <c r="X53" s="4">
        <f t="shared" si="20"/>
        <v>-0.18474345768285916</v>
      </c>
      <c r="Y53" s="4">
        <f t="shared" si="21"/>
        <v>-0.3676955262170047</v>
      </c>
      <c r="Z53" s="4">
        <f t="shared" si="10"/>
        <v>0.4114974424666797</v>
      </c>
      <c r="AA53" s="4">
        <f t="shared" si="11"/>
        <v>-116.67659889850341</v>
      </c>
      <c r="AB53" s="4">
        <f t="shared" si="12"/>
        <v>243.3234011014966</v>
      </c>
      <c r="AC53" s="4"/>
      <c r="AD53" s="4">
        <f t="shared" si="14"/>
        <v>3.9574211832022534</v>
      </c>
      <c r="AE53" s="4"/>
    </row>
    <row r="54" spans="12:31" ht="12.75">
      <c r="L54" s="1">
        <f t="shared" si="22"/>
        <v>89.99252356011402</v>
      </c>
      <c r="M54" s="2">
        <v>230</v>
      </c>
      <c r="N54" s="4">
        <f t="shared" si="15"/>
        <v>-0.5396883292175245</v>
      </c>
      <c r="O54" s="4">
        <f t="shared" si="16"/>
        <v>-0.5059337407480267</v>
      </c>
      <c r="P54" s="4">
        <f t="shared" si="17"/>
        <v>-0.03767077403684474</v>
      </c>
      <c r="Q54" s="4">
        <f t="shared" si="18"/>
        <v>0.00387147512658424</v>
      </c>
      <c r="R54" s="4">
        <f t="shared" si="19"/>
        <v>4.47104407625871E-05</v>
      </c>
      <c r="S54" s="5"/>
      <c r="T54" s="4">
        <f t="shared" si="8"/>
        <v>-0.03375458846949786</v>
      </c>
      <c r="U54" s="4">
        <f t="shared" si="9"/>
        <v>0.00391618556734688</v>
      </c>
      <c r="V54" s="5"/>
      <c r="W54" s="5"/>
      <c r="X54" s="4">
        <f t="shared" si="20"/>
        <v>-0.20543877218052403</v>
      </c>
      <c r="Y54" s="4">
        <f t="shared" si="21"/>
        <v>-0.39834311042186854</v>
      </c>
      <c r="Z54" s="4">
        <f t="shared" si="10"/>
        <v>0.4481989767230735</v>
      </c>
      <c r="AA54" s="4">
        <f t="shared" si="11"/>
        <v>-117.281661101084</v>
      </c>
      <c r="AB54" s="4">
        <f t="shared" si="12"/>
        <v>242.718338898916</v>
      </c>
      <c r="AC54" s="4"/>
      <c r="AD54" s="4">
        <f t="shared" si="14"/>
        <v>3.6701534256393833</v>
      </c>
      <c r="AE54" s="4"/>
    </row>
    <row r="55" spans="12:31" ht="12.75">
      <c r="L55" s="1">
        <f t="shared" si="22"/>
        <v>92.39923103206834</v>
      </c>
      <c r="M55" s="2">
        <v>235</v>
      </c>
      <c r="N55" s="4">
        <f t="shared" si="15"/>
        <v>-0.5224215430338189</v>
      </c>
      <c r="O55" s="4">
        <f t="shared" si="16"/>
        <v>-0.4514580985615476</v>
      </c>
      <c r="P55" s="4">
        <f t="shared" si="17"/>
        <v>-0.07419694066691145</v>
      </c>
      <c r="Q55" s="4">
        <f t="shared" si="18"/>
        <v>0.003156055439610488</v>
      </c>
      <c r="R55" s="4">
        <f t="shared" si="19"/>
        <v>7.744075502959939E-05</v>
      </c>
      <c r="S55" s="5"/>
      <c r="T55" s="4">
        <f t="shared" si="8"/>
        <v>-0.07096344447227132</v>
      </c>
      <c r="U55" s="4">
        <f t="shared" si="9"/>
        <v>0.003233496194640126</v>
      </c>
      <c r="V55" s="5"/>
      <c r="W55" s="5"/>
      <c r="X55" s="4">
        <f t="shared" si="20"/>
        <v>-0.2241617961312748</v>
      </c>
      <c r="Y55" s="4">
        <f t="shared" si="21"/>
        <v>-0.42595906303027564</v>
      </c>
      <c r="Z55" s="4">
        <f t="shared" si="10"/>
        <v>0.4813414943908633</v>
      </c>
      <c r="AA55" s="4">
        <f t="shared" si="11"/>
        <v>-117.75567713265104</v>
      </c>
      <c r="AB55" s="4">
        <f t="shared" si="12"/>
        <v>242.24432286734896</v>
      </c>
      <c r="AC55" s="4"/>
      <c r="AD55" s="4">
        <f t="shared" si="14"/>
        <v>3.3142517667789804</v>
      </c>
      <c r="AE55" s="4"/>
    </row>
    <row r="56" spans="12:31" ht="12.75">
      <c r="L56" s="1">
        <f t="shared" si="22"/>
        <v>94.95038584389629</v>
      </c>
      <c r="M56" s="2">
        <v>240</v>
      </c>
      <c r="N56" s="4">
        <f t="shared" si="15"/>
        <v>-0.49986586867771243</v>
      </c>
      <c r="O56" s="4">
        <f t="shared" si="16"/>
        <v>-0.39354658764716216</v>
      </c>
      <c r="P56" s="4">
        <f t="shared" si="17"/>
        <v>-0.10846867080027764</v>
      </c>
      <c r="Q56" s="4">
        <f t="shared" si="18"/>
        <v>0.002059968888202164</v>
      </c>
      <c r="R56" s="4">
        <f t="shared" si="19"/>
        <v>8.942088152517415E-05</v>
      </c>
      <c r="S56" s="5"/>
      <c r="T56" s="4">
        <f t="shared" si="8"/>
        <v>-0.10631928103055027</v>
      </c>
      <c r="U56" s="4">
        <f t="shared" si="9"/>
        <v>0.0021493897697273667</v>
      </c>
      <c r="V56" s="5"/>
      <c r="W56" s="5"/>
      <c r="X56" s="4">
        <f t="shared" si="20"/>
        <v>-0.2398658686777122</v>
      </c>
      <c r="Y56" s="4">
        <f t="shared" si="21"/>
        <v>-0.45033320996790793</v>
      </c>
      <c r="Z56" s="4">
        <f t="shared" si="10"/>
        <v>0.5102309623655872</v>
      </c>
      <c r="AA56" s="4">
        <f t="shared" si="11"/>
        <v>-118.04158863435754</v>
      </c>
      <c r="AB56" s="4">
        <f t="shared" si="12"/>
        <v>241.95841136564246</v>
      </c>
      <c r="AC56" s="4"/>
      <c r="AD56" s="4">
        <f t="shared" si="14"/>
        <v>2.8889467974723857</v>
      </c>
      <c r="AE56" s="4"/>
    </row>
    <row r="57" spans="12:31" ht="12.75">
      <c r="L57" s="1">
        <f t="shared" si="22"/>
        <v>97.62139848224923</v>
      </c>
      <c r="M57" s="2">
        <v>245</v>
      </c>
      <c r="N57" s="4">
        <f t="shared" si="15"/>
        <v>-0.47129172438802497</v>
      </c>
      <c r="O57" s="4">
        <f t="shared" si="16"/>
        <v>-0.3326399495708551</v>
      </c>
      <c r="P57" s="4">
        <f t="shared" si="17"/>
        <v>-0.13944463525917322</v>
      </c>
      <c r="Q57" s="4">
        <f t="shared" si="18"/>
        <v>0.0007154196869737636</v>
      </c>
      <c r="R57" s="4">
        <f t="shared" si="19"/>
        <v>7.744075502959947E-05</v>
      </c>
      <c r="S57" s="5"/>
      <c r="T57" s="4">
        <f t="shared" si="8"/>
        <v>-0.1386517748171699</v>
      </c>
      <c r="U57" s="4">
        <f t="shared" si="9"/>
        <v>0.0007928604420033292</v>
      </c>
      <c r="V57" s="5"/>
      <c r="W57" s="5"/>
      <c r="X57" s="4">
        <f t="shared" si="20"/>
        <v>-0.251530228282861</v>
      </c>
      <c r="Y57" s="4">
        <f t="shared" si="21"/>
        <v>-0.47128004925905786</v>
      </c>
      <c r="Z57" s="4">
        <f t="shared" si="10"/>
        <v>0.5342025276705906</v>
      </c>
      <c r="AA57" s="4">
        <f t="shared" si="11"/>
        <v>-118.08960372899668</v>
      </c>
      <c r="AB57" s="4">
        <f t="shared" si="12"/>
        <v>241.91039627100332</v>
      </c>
      <c r="AC57" s="4"/>
      <c r="AD57" s="4">
        <f t="shared" si="14"/>
        <v>2.397156530500344</v>
      </c>
      <c r="AE57" s="4"/>
    </row>
    <row r="58" spans="12:31" ht="12.75">
      <c r="L58" s="1">
        <f t="shared" si="22"/>
        <v>100.38472682311453</v>
      </c>
      <c r="M58" s="2">
        <v>250</v>
      </c>
      <c r="N58" s="4">
        <f t="shared" si="15"/>
        <v>-0.4360560749091409</v>
      </c>
      <c r="O58" s="4">
        <f t="shared" si="16"/>
        <v>-0.2692017206248208</v>
      </c>
      <c r="P58" s="4">
        <f t="shared" si="17"/>
        <v>-0.16618364503810898</v>
      </c>
      <c r="Q58" s="4">
        <f t="shared" si="18"/>
        <v>-0.0007154196869737436</v>
      </c>
      <c r="R58" s="4">
        <f t="shared" si="19"/>
        <v>4.4710440762587246E-05</v>
      </c>
      <c r="S58" s="5"/>
      <c r="T58" s="4">
        <f t="shared" si="8"/>
        <v>-0.1668543542843201</v>
      </c>
      <c r="U58" s="4">
        <f t="shared" si="9"/>
        <v>-0.0006707092462111264</v>
      </c>
      <c r="V58" s="5"/>
      <c r="W58" s="5"/>
      <c r="X58" s="4">
        <f t="shared" si="20"/>
        <v>-0.2582056003797928</v>
      </c>
      <c r="Y58" s="4">
        <f t="shared" si="21"/>
        <v>-0.4886401628086723</v>
      </c>
      <c r="Z58" s="4">
        <f t="shared" si="10"/>
        <v>0.5526656681730601</v>
      </c>
      <c r="AA58" s="4">
        <f t="shared" si="11"/>
        <v>-117.85271891589049</v>
      </c>
      <c r="AB58" s="4">
        <f t="shared" si="12"/>
        <v>242.14728108410952</v>
      </c>
      <c r="AC58" s="4"/>
      <c r="AD58" s="4">
        <f t="shared" si="14"/>
        <v>1.8463140502469444</v>
      </c>
      <c r="AE58" s="4"/>
    </row>
    <row r="59" spans="12:31" ht="12.75">
      <c r="L59" s="1">
        <f t="shared" si="22"/>
        <v>103.21050000903739</v>
      </c>
      <c r="M59" s="2">
        <v>255</v>
      </c>
      <c r="N59" s="4">
        <f t="shared" si="15"/>
        <v>-0.3936479217801338</v>
      </c>
      <c r="O59" s="4">
        <f t="shared" si="16"/>
        <v>-0.20371470403638772</v>
      </c>
      <c r="P59" s="4">
        <f t="shared" si="17"/>
        <v>-0.18787324885554393</v>
      </c>
      <c r="Q59" s="4">
        <f t="shared" si="18"/>
        <v>-0.002059968888202159</v>
      </c>
      <c r="R59" s="4">
        <f t="shared" si="19"/>
        <v>2.519641710940064E-19</v>
      </c>
      <c r="S59" s="5"/>
      <c r="T59" s="4">
        <f t="shared" si="8"/>
        <v>-0.18993321774374608</v>
      </c>
      <c r="U59" s="4">
        <f t="shared" si="9"/>
        <v>-0.002059968888202146</v>
      </c>
      <c r="V59" s="5"/>
      <c r="W59" s="5"/>
      <c r="X59" s="4">
        <f t="shared" si="20"/>
        <v>-0.2590620183268231</v>
      </c>
      <c r="Y59" s="4">
        <f t="shared" si="21"/>
        <v>-0.5022814296703155</v>
      </c>
      <c r="Z59" s="4">
        <f t="shared" si="10"/>
        <v>0.5651546371845704</v>
      </c>
      <c r="AA59" s="4">
        <f t="shared" si="11"/>
        <v>-117.28335530104056</v>
      </c>
      <c r="AB59" s="4">
        <f t="shared" si="12"/>
        <v>242.71664469895944</v>
      </c>
      <c r="AC59" s="4"/>
      <c r="AD59" s="4">
        <f t="shared" si="14"/>
        <v>1.248896901151031</v>
      </c>
      <c r="AE59" s="4"/>
    </row>
    <row r="60" spans="12:31" ht="12.75">
      <c r="L60" s="1">
        <f t="shared" si="22"/>
        <v>106.06740374627111</v>
      </c>
      <c r="M60" s="2">
        <v>260</v>
      </c>
      <c r="N60" s="4">
        <f t="shared" si="15"/>
        <v>-0.3437324804992642</v>
      </c>
      <c r="O60" s="4">
        <f t="shared" si="16"/>
        <v>-0.13667729554393704</v>
      </c>
      <c r="P60" s="4">
        <f t="shared" si="17"/>
        <v>-0.20385441907495402</v>
      </c>
      <c r="Q60" s="4">
        <f t="shared" si="18"/>
        <v>-0.0031560554396104844</v>
      </c>
      <c r="R60" s="4">
        <f t="shared" si="19"/>
        <v>-4.471044076258681E-05</v>
      </c>
      <c r="S60" s="5"/>
      <c r="T60" s="4">
        <f t="shared" si="8"/>
        <v>-0.20705518495532715</v>
      </c>
      <c r="U60" s="4">
        <f t="shared" si="9"/>
        <v>-0.00320076588037313</v>
      </c>
      <c r="V60" s="5"/>
      <c r="W60" s="5"/>
      <c r="X60" s="4">
        <f t="shared" si="20"/>
        <v>-0.25343542811246045</v>
      </c>
      <c r="Y60" s="4">
        <f t="shared" si="21"/>
        <v>-0.5121000315663482</v>
      </c>
      <c r="Z60" s="4">
        <f t="shared" si="10"/>
        <v>0.5713807474467449</v>
      </c>
      <c r="AA60" s="4">
        <f t="shared" si="11"/>
        <v>-116.33054923462122</v>
      </c>
      <c r="AB60" s="4">
        <f t="shared" si="12"/>
        <v>243.66945076537877</v>
      </c>
      <c r="AC60" s="4"/>
      <c r="AD60" s="4">
        <f t="shared" si="14"/>
        <v>0.6226110262174567</v>
      </c>
      <c r="AE60" s="4"/>
    </row>
    <row r="61" spans="12:31" ht="12.75">
      <c r="L61" s="1">
        <f t="shared" si="22"/>
        <v>108.92381748439065</v>
      </c>
      <c r="M61" s="2">
        <v>265</v>
      </c>
      <c r="N61" s="4">
        <f t="shared" si="15"/>
        <v>-0.28619018211208835</v>
      </c>
      <c r="O61" s="4">
        <f t="shared" si="16"/>
        <v>-0.06859969030438955</v>
      </c>
      <c r="P61" s="4">
        <f t="shared" si="17"/>
        <v>-0.213641575926085</v>
      </c>
      <c r="Q61" s="4">
        <f t="shared" si="18"/>
        <v>-0.003871475126584238</v>
      </c>
      <c r="R61" s="4">
        <f t="shared" si="19"/>
        <v>-7.744075502959922E-05</v>
      </c>
      <c r="S61" s="5"/>
      <c r="T61" s="4">
        <f t="shared" si="8"/>
        <v>-0.2175904918076988</v>
      </c>
      <c r="U61" s="4">
        <f t="shared" si="9"/>
        <v>-0.003948915881613807</v>
      </c>
      <c r="V61" s="5"/>
      <c r="W61" s="5"/>
      <c r="X61" s="4">
        <f t="shared" si="20"/>
        <v>-0.24086919588330608</v>
      </c>
      <c r="Y61" s="4">
        <f t="shared" si="21"/>
        <v>-0.5180212430077077</v>
      </c>
      <c r="Z61" s="4">
        <f t="shared" si="10"/>
        <v>0.5712827476239073</v>
      </c>
      <c r="AA61" s="4">
        <f t="shared" si="11"/>
        <v>-114.9374562023966</v>
      </c>
      <c r="AB61" s="4">
        <f t="shared" si="12"/>
        <v>245.06254379760338</v>
      </c>
      <c r="AC61" s="4"/>
      <c r="AD61" s="4">
        <f t="shared" si="14"/>
        <v>-0.009799982283764663</v>
      </c>
      <c r="AE61" s="4"/>
    </row>
    <row r="62" spans="12:31" ht="12.75">
      <c r="L62" s="1">
        <f t="shared" si="22"/>
        <v>111.74917526277562</v>
      </c>
      <c r="M62" s="2">
        <v>270</v>
      </c>
      <c r="N62" s="4">
        <f t="shared" si="15"/>
        <v>-0.22114670025848526</v>
      </c>
      <c r="O62" s="4">
        <f t="shared" si="16"/>
        <v>-1.4464589813714404E-16</v>
      </c>
      <c r="P62" s="4">
        <f t="shared" si="17"/>
        <v>-0.21693734160055564</v>
      </c>
      <c r="Q62" s="4">
        <f t="shared" si="18"/>
        <v>-0.004119937776404315</v>
      </c>
      <c r="R62" s="4">
        <f t="shared" si="19"/>
        <v>-8.942088152517415E-05</v>
      </c>
      <c r="S62" s="5"/>
      <c r="T62" s="4">
        <f t="shared" si="8"/>
        <v>-0.22114670025848512</v>
      </c>
      <c r="U62" s="4">
        <f t="shared" si="9"/>
        <v>-0.004209358657929485</v>
      </c>
      <c r="V62" s="5"/>
      <c r="W62" s="5"/>
      <c r="X62" s="4">
        <f t="shared" si="20"/>
        <v>-0.22114670025848518</v>
      </c>
      <c r="Y62" s="4">
        <f t="shared" si="21"/>
        <v>-0.52</v>
      </c>
      <c r="Z62" s="4">
        <f t="shared" si="10"/>
        <v>0.5650715556769924</v>
      </c>
      <c r="AA62" s="4">
        <f t="shared" si="11"/>
        <v>-113.03918171327106</v>
      </c>
      <c r="AB62" s="4">
        <f t="shared" si="12"/>
        <v>246.96081828672894</v>
      </c>
      <c r="AC62" s="4"/>
      <c r="AD62" s="4">
        <f t="shared" si="14"/>
        <v>-0.6211191946914885</v>
      </c>
      <c r="AE62" s="4"/>
    </row>
    <row r="63" spans="12:31" ht="12.75">
      <c r="L63" s="1">
        <f t="shared" si="22"/>
        <v>114.51550441464319</v>
      </c>
      <c r="M63" s="2">
        <v>275</v>
      </c>
      <c r="N63" s="4">
        <f t="shared" si="15"/>
        <v>-0.14899080150330957</v>
      </c>
      <c r="O63" s="4">
        <f t="shared" si="16"/>
        <v>0.06859969030438927</v>
      </c>
      <c r="P63" s="4">
        <f t="shared" si="17"/>
        <v>-0.21364157592608501</v>
      </c>
      <c r="Q63" s="4">
        <f t="shared" si="18"/>
        <v>-0.00387147512658424</v>
      </c>
      <c r="R63" s="4">
        <f t="shared" si="19"/>
        <v>-7.744075502959931E-05</v>
      </c>
      <c r="S63" s="5"/>
      <c r="T63" s="4">
        <f t="shared" si="8"/>
        <v>-0.21759049180769885</v>
      </c>
      <c r="U63" s="4">
        <f t="shared" si="9"/>
        <v>-0.003948915881613835</v>
      </c>
      <c r="V63" s="5"/>
      <c r="W63" s="5"/>
      <c r="X63" s="4">
        <f t="shared" si="20"/>
        <v>-0.19431178773209168</v>
      </c>
      <c r="Y63" s="4">
        <f t="shared" si="21"/>
        <v>-0.5180212430077077</v>
      </c>
      <c r="Z63" s="4">
        <f t="shared" si="10"/>
        <v>0.5532658303735122</v>
      </c>
      <c r="AA63" s="4">
        <f t="shared" si="11"/>
        <v>-110.56126405954303</v>
      </c>
      <c r="AB63" s="4">
        <f t="shared" si="12"/>
        <v>249.43873594045698</v>
      </c>
      <c r="AC63" s="4"/>
      <c r="AD63" s="4">
        <f t="shared" si="14"/>
        <v>-1.180572530348023</v>
      </c>
      <c r="AE63" s="4"/>
    </row>
    <row r="64" spans="12:31" ht="12.75">
      <c r="L64" s="1">
        <f t="shared" si="22"/>
        <v>117.19907889307726</v>
      </c>
      <c r="M64" s="2">
        <v>280</v>
      </c>
      <c r="N64" s="4">
        <f t="shared" si="15"/>
        <v>-0.07037788941139037</v>
      </c>
      <c r="O64" s="4">
        <f t="shared" si="16"/>
        <v>0.13667729554393676</v>
      </c>
      <c r="P64" s="4">
        <f t="shared" si="17"/>
        <v>-0.20385441907495405</v>
      </c>
      <c r="Q64" s="4">
        <f t="shared" si="18"/>
        <v>-0.003156055439610488</v>
      </c>
      <c r="R64" s="4">
        <f t="shared" si="19"/>
        <v>-4.471044076258698E-05</v>
      </c>
      <c r="S64" s="5"/>
      <c r="T64" s="4">
        <f t="shared" si="8"/>
        <v>-0.20705518495532713</v>
      </c>
      <c r="U64" s="4">
        <f t="shared" si="9"/>
        <v>-0.0032007658803730743</v>
      </c>
      <c r="V64" s="5"/>
      <c r="W64" s="5"/>
      <c r="X64" s="4">
        <f t="shared" si="20"/>
        <v>-0.16067494179819397</v>
      </c>
      <c r="Y64" s="4">
        <f t="shared" si="21"/>
        <v>-0.5121000315663483</v>
      </c>
      <c r="Z64" s="4">
        <f t="shared" si="10"/>
        <v>0.5367148956868143</v>
      </c>
      <c r="AA64" s="4">
        <f t="shared" si="11"/>
        <v>-107.41961155393392</v>
      </c>
      <c r="AB64" s="4">
        <f t="shared" si="12"/>
        <v>252.58038844606608</v>
      </c>
      <c r="AC64" s="4"/>
      <c r="AD64" s="4">
        <f t="shared" si="14"/>
        <v>-1.6550934686697882</v>
      </c>
      <c r="AE64" s="4"/>
    </row>
    <row r="65" spans="12:31" ht="12.75">
      <c r="L65" s="1">
        <f t="shared" si="22"/>
        <v>119.7821020336878</v>
      </c>
      <c r="M65" s="2">
        <v>285</v>
      </c>
      <c r="N65" s="4">
        <f t="shared" si="15"/>
        <v>0.013781486292642137</v>
      </c>
      <c r="O65" s="4">
        <f t="shared" si="16"/>
        <v>0.2037147040363881</v>
      </c>
      <c r="P65" s="4">
        <f t="shared" si="17"/>
        <v>-0.18787324885554382</v>
      </c>
      <c r="Q65" s="4">
        <f t="shared" si="18"/>
        <v>-0.0020599688882021517</v>
      </c>
      <c r="R65" s="4">
        <f t="shared" si="19"/>
        <v>5.476723238716542E-20</v>
      </c>
      <c r="S65" s="5"/>
      <c r="T65" s="4">
        <f t="shared" si="8"/>
        <v>-0.18993321774374597</v>
      </c>
      <c r="U65" s="4">
        <f t="shared" si="9"/>
        <v>-0.002059968888202146</v>
      </c>
      <c r="V65" s="5"/>
      <c r="W65" s="5"/>
      <c r="X65" s="4">
        <f t="shared" si="20"/>
        <v>-0.12080441716066884</v>
      </c>
      <c r="Y65" s="4">
        <f t="shared" si="21"/>
        <v>-0.5022814296703154</v>
      </c>
      <c r="Z65" s="4">
        <f t="shared" si="10"/>
        <v>0.5166046281221113</v>
      </c>
      <c r="AA65" s="4">
        <f t="shared" si="11"/>
        <v>-103.52343609258632</v>
      </c>
      <c r="AB65" s="4">
        <f t="shared" si="12"/>
        <v>256.47656390741366</v>
      </c>
      <c r="AC65" s="4"/>
      <c r="AD65" s="4">
        <f t="shared" si="14"/>
        <v>-2.011026756470302</v>
      </c>
      <c r="AE65" s="4"/>
    </row>
    <row r="66" spans="12:31" ht="12.75">
      <c r="L66" s="1">
        <f t="shared" si="22"/>
        <v>122.25429705054965</v>
      </c>
      <c r="M66" s="2">
        <v>290</v>
      </c>
      <c r="N66" s="4">
        <f t="shared" si="15"/>
        <v>0.10234736634049935</v>
      </c>
      <c r="O66" s="4">
        <f t="shared" si="16"/>
        <v>0.26920172062481984</v>
      </c>
      <c r="P66" s="4">
        <f t="shared" si="17"/>
        <v>-0.1661836450381093</v>
      </c>
      <c r="Q66" s="4">
        <f t="shared" si="18"/>
        <v>-0.000715419686973764</v>
      </c>
      <c r="R66" s="4">
        <f t="shared" si="19"/>
        <v>4.471044076258708E-05</v>
      </c>
      <c r="S66" s="5"/>
      <c r="T66" s="4">
        <f t="shared" si="8"/>
        <v>-0.1668543542843205</v>
      </c>
      <c r="U66" s="4">
        <f t="shared" si="9"/>
        <v>-0.0006707092462111819</v>
      </c>
      <c r="V66" s="5"/>
      <c r="W66" s="5"/>
      <c r="X66" s="4">
        <f t="shared" si="20"/>
        <v>-0.07550310818884809</v>
      </c>
      <c r="Y66" s="4">
        <f t="shared" si="21"/>
        <v>-0.48864016280867245</v>
      </c>
      <c r="Z66" s="4">
        <f t="shared" si="10"/>
        <v>0.4944390033723703</v>
      </c>
      <c r="AA66" s="4">
        <f t="shared" si="11"/>
        <v>-98.78369452372623</v>
      </c>
      <c r="AB66" s="4">
        <f t="shared" si="12"/>
        <v>261.21630547627376</v>
      </c>
      <c r="AC66" s="4"/>
      <c r="AD66" s="4">
        <f t="shared" si="14"/>
        <v>-2.216562474974099</v>
      </c>
      <c r="AE66" s="4"/>
    </row>
    <row r="67" spans="12:31" ht="12.75">
      <c r="L67" s="1">
        <f t="shared" si="22"/>
        <v>124.61421838887381</v>
      </c>
      <c r="M67" s="2">
        <v>295</v>
      </c>
      <c r="N67" s="4">
        <f t="shared" si="15"/>
        <v>0.1939881747536848</v>
      </c>
      <c r="O67" s="4">
        <f t="shared" si="16"/>
        <v>0.3326399495708548</v>
      </c>
      <c r="P67" s="4">
        <f t="shared" si="17"/>
        <v>-0.13944463525917336</v>
      </c>
      <c r="Q67" s="4">
        <f t="shared" si="18"/>
        <v>0.0007154196869737576</v>
      </c>
      <c r="R67" s="4">
        <f t="shared" si="19"/>
        <v>7.744075502959938E-05</v>
      </c>
      <c r="S67" s="5"/>
      <c r="T67" s="4">
        <f t="shared" si="8"/>
        <v>-0.13865177481717</v>
      </c>
      <c r="U67" s="4">
        <f t="shared" si="9"/>
        <v>0.0007928604420033569</v>
      </c>
      <c r="V67" s="5"/>
      <c r="W67" s="5"/>
      <c r="X67" s="4">
        <f t="shared" si="20"/>
        <v>-0.025773321351479</v>
      </c>
      <c r="Y67" s="4">
        <f t="shared" si="21"/>
        <v>-0.471280049259058</v>
      </c>
      <c r="Z67" s="4">
        <f t="shared" si="10"/>
        <v>0.47198426766483087</v>
      </c>
      <c r="AA67" s="4">
        <f t="shared" si="11"/>
        <v>-93.13026833590295</v>
      </c>
      <c r="AB67" s="4">
        <f t="shared" si="12"/>
        <v>266.86973166409706</v>
      </c>
      <c r="AC67" s="4"/>
      <c r="AD67" s="4">
        <f t="shared" si="14"/>
        <v>-2.245473570753942</v>
      </c>
      <c r="AE67" s="4"/>
    </row>
    <row r="68" spans="12:31" ht="12.75">
      <c r="L68" s="1">
        <f t="shared" si="22"/>
        <v>126.86999611631946</v>
      </c>
      <c r="M68" s="2">
        <v>300</v>
      </c>
      <c r="N68" s="4">
        <f t="shared" si="15"/>
        <v>0.28722730661661144</v>
      </c>
      <c r="O68" s="4">
        <f t="shared" si="16"/>
        <v>0.3935465876471619</v>
      </c>
      <c r="P68" s="4">
        <f t="shared" si="17"/>
        <v>-0.10846867080027778</v>
      </c>
      <c r="Q68" s="4">
        <f t="shared" si="18"/>
        <v>0.002059968888202159</v>
      </c>
      <c r="R68" s="4">
        <f t="shared" si="19"/>
        <v>8.942088152517415E-05</v>
      </c>
      <c r="S68" s="5"/>
      <c r="T68" s="4">
        <f t="shared" si="8"/>
        <v>-0.10631928103055044</v>
      </c>
      <c r="U68" s="4">
        <f t="shared" si="9"/>
        <v>0.002149389769727339</v>
      </c>
      <c r="V68" s="5"/>
      <c r="W68" s="5"/>
      <c r="X68" s="4">
        <f t="shared" si="20"/>
        <v>0.02722730661661138</v>
      </c>
      <c r="Y68" s="4">
        <f t="shared" si="21"/>
        <v>-0.45033320996790804</v>
      </c>
      <c r="Z68" s="4">
        <f t="shared" si="10"/>
        <v>0.4511555454891305</v>
      </c>
      <c r="AA68" s="4">
        <f t="shared" si="11"/>
        <v>-86.54008846780002</v>
      </c>
      <c r="AB68" s="4">
        <f t="shared" si="12"/>
        <v>273.45991153219995</v>
      </c>
      <c r="AC68" s="4"/>
      <c r="AD68" s="4">
        <f t="shared" si="14"/>
        <v>-2.0828722175700367</v>
      </c>
      <c r="AE68" s="4"/>
    </row>
    <row r="69" spans="12:31" ht="12.75">
      <c r="L69" s="1">
        <f t="shared" si="22"/>
        <v>129.03911865399246</v>
      </c>
      <c r="M69" s="2">
        <v>305</v>
      </c>
      <c r="N69" s="4">
        <f t="shared" si="15"/>
        <v>0.38049465408927585</v>
      </c>
      <c r="O69" s="4">
        <f t="shared" si="16"/>
        <v>0.45145809856154734</v>
      </c>
      <c r="P69" s="4">
        <f t="shared" si="17"/>
        <v>-0.0741969406669116</v>
      </c>
      <c r="Q69" s="4">
        <f t="shared" si="18"/>
        <v>0.003156055439610484</v>
      </c>
      <c r="R69" s="4">
        <f t="shared" si="19"/>
        <v>7.744075502959949E-05</v>
      </c>
      <c r="S69" s="5"/>
      <c r="T69" s="4">
        <f t="shared" si="8"/>
        <v>-0.07096344447227149</v>
      </c>
      <c r="U69" s="4">
        <f t="shared" si="9"/>
        <v>0.003233496194640112</v>
      </c>
      <c r="V69" s="5"/>
      <c r="W69" s="5"/>
      <c r="X69" s="4">
        <f t="shared" si="20"/>
        <v>0.08223490718673193</v>
      </c>
      <c r="Y69" s="4">
        <f t="shared" si="21"/>
        <v>-0.42595906303027575</v>
      </c>
      <c r="Z69" s="4">
        <f t="shared" si="10"/>
        <v>0.43382450753460305</v>
      </c>
      <c r="AA69" s="4">
        <f t="shared" si="11"/>
        <v>-79.07300912544055</v>
      </c>
      <c r="AB69" s="4">
        <f t="shared" si="12"/>
        <v>280.92699087455946</v>
      </c>
      <c r="AC69" s="4"/>
      <c r="AD69" s="4">
        <f t="shared" si="14"/>
        <v>-1.733103795452745</v>
      </c>
      <c r="AE69" s="4"/>
    </row>
    <row r="70" spans="12:31" ht="12.75">
      <c r="L70" s="1">
        <f t="shared" si="22"/>
        <v>131.14685326053132</v>
      </c>
      <c r="M70" s="2">
        <v>310</v>
      </c>
      <c r="N70" s="4">
        <f t="shared" si="15"/>
        <v>0.4721791522785285</v>
      </c>
      <c r="O70" s="4">
        <f t="shared" si="16"/>
        <v>0.5059337407480266</v>
      </c>
      <c r="P70" s="4">
        <f t="shared" si="17"/>
        <v>-0.0376707740368449</v>
      </c>
      <c r="Q70" s="4">
        <f t="shared" si="18"/>
        <v>0.003871475126584238</v>
      </c>
      <c r="R70" s="4">
        <f t="shared" si="19"/>
        <v>4.4710440762587267E-05</v>
      </c>
      <c r="S70" s="5"/>
      <c r="T70" s="4">
        <f t="shared" si="8"/>
        <v>-0.033754588469498026</v>
      </c>
      <c r="U70" s="4">
        <f t="shared" si="9"/>
        <v>0.0039161855673468735</v>
      </c>
      <c r="V70" s="5"/>
      <c r="W70" s="5"/>
      <c r="X70" s="4">
        <f t="shared" si="20"/>
        <v>0.1379295952415281</v>
      </c>
      <c r="Y70" s="4">
        <f t="shared" si="21"/>
        <v>-0.3983431104218686</v>
      </c>
      <c r="Z70" s="4">
        <f t="shared" si="10"/>
        <v>0.4215469213077718</v>
      </c>
      <c r="AA70" s="4">
        <f t="shared" si="11"/>
        <v>-70.90116545362898</v>
      </c>
      <c r="AB70" s="4">
        <f t="shared" si="12"/>
        <v>289.098834546371</v>
      </c>
      <c r="AC70" s="4"/>
      <c r="AD70" s="4">
        <f t="shared" si="14"/>
        <v>-1.2277586226831227</v>
      </c>
      <c r="AE70" s="4"/>
    </row>
    <row r="71" spans="12:31" ht="12.75">
      <c r="L71" s="1">
        <f t="shared" si="22"/>
        <v>133.22316349088436</v>
      </c>
      <c r="M71" s="2">
        <v>315</v>
      </c>
      <c r="N71" s="4">
        <f t="shared" si="15"/>
        <v>0.5606788594526723</v>
      </c>
      <c r="O71" s="4">
        <f t="shared" si="16"/>
        <v>0.5565589216762681</v>
      </c>
      <c r="P71" s="4">
        <f t="shared" si="17"/>
        <v>-9.302315710586648E-17</v>
      </c>
      <c r="Q71" s="4">
        <f t="shared" si="18"/>
        <v>0.004119937776404315</v>
      </c>
      <c r="R71" s="4">
        <f t="shared" si="19"/>
        <v>5.915617310263184E-19</v>
      </c>
      <c r="S71" s="5"/>
      <c r="T71" s="4">
        <f t="shared" si="8"/>
        <v>0.004119937776404181</v>
      </c>
      <c r="U71" s="4">
        <f t="shared" si="9"/>
        <v>0.004119937776404274</v>
      </c>
      <c r="V71" s="5"/>
      <c r="W71" s="5"/>
      <c r="X71" s="4">
        <f t="shared" si="20"/>
        <v>0.19298333323566763</v>
      </c>
      <c r="Y71" s="4">
        <f t="shared" si="21"/>
        <v>-0.36769552621700474</v>
      </c>
      <c r="Z71" s="4">
        <f t="shared" si="10"/>
        <v>0.4152620460706092</v>
      </c>
      <c r="AA71" s="4">
        <f t="shared" si="11"/>
        <v>-62.307468239844134</v>
      </c>
      <c r="AB71" s="4">
        <f t="shared" si="12"/>
        <v>297.6925317601559</v>
      </c>
      <c r="AC71" s="4"/>
      <c r="AD71" s="4">
        <f t="shared" si="14"/>
        <v>-0.6284875237162646</v>
      </c>
      <c r="AE71" s="4"/>
    </row>
    <row r="72" spans="12:31" ht="12.75">
      <c r="L72" s="1">
        <f t="shared" si="22"/>
        <v>135.29855107768464</v>
      </c>
      <c r="M72" s="2">
        <v>320</v>
      </c>
      <c r="N72" s="4">
        <f aca="true" t="shared" si="23" ref="N72:N80">(SUM(O72:R72))</f>
        <v>0.6444458918737545</v>
      </c>
      <c r="O72" s="4">
        <f aca="true" t="shared" si="24" ref="O72:O80">COS(M72*PI()/180)/$N$6</f>
        <v>0.6029483531510881</v>
      </c>
      <c r="P72" s="4">
        <f aca="true" t="shared" si="25" ref="P72:P80">$I$2/$J$2*COS(2*M72*PI()/180)/$N$6</f>
        <v>0.03767077403684471</v>
      </c>
      <c r="Q72" s="4">
        <f aca="true" t="shared" si="26" ref="Q72:Q80">-1/4*($I$2/$J$2)^3*COS(4*M72*PI()/180)/$N$6</f>
        <v>0.003871475126584241</v>
      </c>
      <c r="R72" s="4">
        <f aca="true" t="shared" si="27" ref="R72:R80">1/14*($I$2/$J$2)^5*COS(6*M72*PI()/180)/$N$6</f>
        <v>-4.471044076258679E-05</v>
      </c>
      <c r="S72" s="5"/>
      <c r="T72" s="4">
        <f t="shared" si="8"/>
        <v>0.04149753872266637</v>
      </c>
      <c r="U72" s="4">
        <f t="shared" si="9"/>
        <v>0.0038267646858216597</v>
      </c>
      <c r="V72" s="5"/>
      <c r="W72" s="5"/>
      <c r="X72" s="4">
        <f aca="true" t="shared" si="28" ref="X72:X80">N72-COS(M72*PI()/180)*H$2/100</f>
        <v>0.24610278145188597</v>
      </c>
      <c r="Y72" s="4">
        <f aca="true" t="shared" si="29" ref="Y72:Y80">SIN(M72*PI()/180)*H$2/100</f>
        <v>-0.33424955703700054</v>
      </c>
      <c r="Z72" s="4">
        <f t="shared" si="10"/>
        <v>0.4150775173600539</v>
      </c>
      <c r="AA72" s="4">
        <f t="shared" si="11"/>
        <v>-53.63635845328819</v>
      </c>
      <c r="AB72" s="4">
        <f t="shared" si="12"/>
        <v>306.3636415467118</v>
      </c>
      <c r="AC72" s="4"/>
      <c r="AD72" s="4">
        <f t="shared" si="14"/>
        <v>-0.01845287105552984</v>
      </c>
      <c r="AE72" s="4"/>
    </row>
    <row r="73" spans="12:31" ht="12.75">
      <c r="L73" s="1">
        <f aca="true" t="shared" si="30" ref="L73:L80">Z73*5+L72</f>
        <v>137.3998223753035</v>
      </c>
      <c r="M73" s="2">
        <v>325</v>
      </c>
      <c r="N73" s="4">
        <f t="shared" si="23"/>
        <v>0.7220245389397512</v>
      </c>
      <c r="O73" s="4">
        <f t="shared" si="24"/>
        <v>0.6447489835882588</v>
      </c>
      <c r="P73" s="4">
        <f t="shared" si="25"/>
        <v>0.07419694066691143</v>
      </c>
      <c r="Q73" s="4">
        <f t="shared" si="26"/>
        <v>0.0031560554396104887</v>
      </c>
      <c r="R73" s="4">
        <f t="shared" si="27"/>
        <v>-7.744075502959937E-05</v>
      </c>
      <c r="S73" s="5"/>
      <c r="T73" s="4">
        <f aca="true" t="shared" si="31" ref="T73:T80">(N73-O73)</f>
        <v>0.07727555535149233</v>
      </c>
      <c r="U73" s="4">
        <f aca="true" t="shared" si="32" ref="U73:U80">(N73-O73-P73)</f>
        <v>0.0030786146845808993</v>
      </c>
      <c r="V73" s="5"/>
      <c r="W73" s="5"/>
      <c r="X73" s="4">
        <f t="shared" si="28"/>
        <v>0.2960654759094755</v>
      </c>
      <c r="Y73" s="4">
        <f t="shared" si="29"/>
        <v>-0.2982597469025442</v>
      </c>
      <c r="Z73" s="4">
        <f aca="true" t="shared" si="33" ref="Z73:Z80">SQRT(SUMSQ(X73,Y73))</f>
        <v>0.42025425952377204</v>
      </c>
      <c r="AA73" s="4">
        <f aca="true" t="shared" si="34" ref="AA73:AA80">DEGREES(ATAN2(X73,Y73))</f>
        <v>-45.21153720377837</v>
      </c>
      <c r="AB73" s="4">
        <f aca="true" t="shared" si="35" ref="AB73:AB80">IF(DEGREES(ATAN2(X73,Y73))&lt;0,360+DEGREES(ATAN2(X73,Y73)),DEGREES(ATAN2(X73,Y73)))</f>
        <v>314.7884627962216</v>
      </c>
      <c r="AC73" s="4"/>
      <c r="AD73" s="4">
        <f t="shared" si="14"/>
        <v>0.5176742163718162</v>
      </c>
      <c r="AE73" s="4"/>
    </row>
    <row r="74" spans="12:31" ht="12.75">
      <c r="L74" s="1">
        <f t="shared" si="30"/>
        <v>139.5468678435382</v>
      </c>
      <c r="M74" s="2">
        <v>330</v>
      </c>
      <c r="N74" s="4">
        <f t="shared" si="23"/>
        <v>0.792081903757197</v>
      </c>
      <c r="O74" s="4">
        <f t="shared" si="24"/>
        <v>0.6816426849502424</v>
      </c>
      <c r="P74" s="4">
        <f t="shared" si="25"/>
        <v>0.10846867080027763</v>
      </c>
      <c r="Q74" s="4">
        <f t="shared" si="26"/>
        <v>0.0020599688882021647</v>
      </c>
      <c r="R74" s="4">
        <f t="shared" si="27"/>
        <v>-8.942088152517415E-05</v>
      </c>
      <c r="S74" s="5"/>
      <c r="T74" s="4">
        <f t="shared" si="31"/>
        <v>0.11043921880695462</v>
      </c>
      <c r="U74" s="4">
        <f t="shared" si="32"/>
        <v>0.001970548006676995</v>
      </c>
      <c r="V74" s="5"/>
      <c r="W74" s="5"/>
      <c r="X74" s="4">
        <f t="shared" si="28"/>
        <v>0.34174869378928907</v>
      </c>
      <c r="Y74" s="4">
        <f t="shared" si="29"/>
        <v>-0.26000000000000023</v>
      </c>
      <c r="Z74" s="4">
        <f t="shared" si="33"/>
        <v>0.4294090936469387</v>
      </c>
      <c r="AA74" s="4">
        <f t="shared" si="34"/>
        <v>-37.26362192157534</v>
      </c>
      <c r="AB74" s="4">
        <f t="shared" si="35"/>
        <v>322.73637807842465</v>
      </c>
      <c r="AC74" s="4"/>
      <c r="AD74" s="4">
        <f aca="true" t="shared" si="36" ref="AD74:AD80">(Z74-Z73)*100</f>
        <v>0.9154834123166644</v>
      </c>
      <c r="AE74" s="4"/>
    </row>
    <row r="75" spans="12:31" ht="12.75">
      <c r="L75" s="1">
        <f t="shared" si="30"/>
        <v>141.75103823455632</v>
      </c>
      <c r="M75" s="2">
        <v>335</v>
      </c>
      <c r="N75" s="4">
        <f t="shared" si="23"/>
        <v>0.8534312880837656</v>
      </c>
      <c r="O75" s="4">
        <f t="shared" si="24"/>
        <v>0.7133486738926482</v>
      </c>
      <c r="P75" s="4">
        <f t="shared" si="25"/>
        <v>0.1394446352591732</v>
      </c>
      <c r="Q75" s="4">
        <f t="shared" si="26"/>
        <v>0.0007154196869737646</v>
      </c>
      <c r="R75" s="4">
        <f t="shared" si="27"/>
        <v>-7.744075502959949E-05</v>
      </c>
      <c r="S75" s="5"/>
      <c r="T75" s="4">
        <f t="shared" si="31"/>
        <v>0.14008261419111734</v>
      </c>
      <c r="U75" s="4">
        <f t="shared" si="32"/>
        <v>0.0006379789319441442</v>
      </c>
      <c r="V75" s="5"/>
      <c r="W75" s="5"/>
      <c r="X75" s="4">
        <f t="shared" si="28"/>
        <v>0.3821512388247077</v>
      </c>
      <c r="Y75" s="4">
        <f t="shared" si="29"/>
        <v>-0.21976149610516402</v>
      </c>
      <c r="Z75" s="4">
        <f t="shared" si="33"/>
        <v>0.4408340782036239</v>
      </c>
      <c r="AA75" s="4">
        <f t="shared" si="34"/>
        <v>-29.901666131887414</v>
      </c>
      <c r="AB75" s="4">
        <f t="shared" si="35"/>
        <v>330.0983338681126</v>
      </c>
      <c r="AC75" s="4"/>
      <c r="AD75" s="4">
        <f t="shared" si="36"/>
        <v>1.1424984556685225</v>
      </c>
      <c r="AE75" s="4"/>
    </row>
    <row r="76" spans="12:31" ht="12.75">
      <c r="L76" s="1">
        <f t="shared" si="30"/>
        <v>144.01503496177813</v>
      </c>
      <c r="M76" s="2">
        <v>340</v>
      </c>
      <c r="N76" s="4">
        <f t="shared" si="23"/>
        <v>0.9050491636053982</v>
      </c>
      <c r="O76" s="4">
        <f t="shared" si="24"/>
        <v>0.7396256486950253</v>
      </c>
      <c r="P76" s="4">
        <f t="shared" si="25"/>
        <v>0.1661836450381092</v>
      </c>
      <c r="Q76" s="4">
        <f t="shared" si="26"/>
        <v>-0.0007154196869737572</v>
      </c>
      <c r="R76" s="4">
        <f t="shared" si="27"/>
        <v>-4.4710440762587E-05</v>
      </c>
      <c r="S76" s="5"/>
      <c r="T76" s="4">
        <f t="shared" si="31"/>
        <v>0.16542351491037288</v>
      </c>
      <c r="U76" s="4">
        <f t="shared" si="32"/>
        <v>-0.0007601301277363193</v>
      </c>
      <c r="V76" s="5"/>
      <c r="W76" s="5"/>
      <c r="X76" s="4">
        <f t="shared" si="28"/>
        <v>0.4164090007967258</v>
      </c>
      <c r="Y76" s="4">
        <f t="shared" si="29"/>
        <v>-0.17785047452934766</v>
      </c>
      <c r="Z76" s="4">
        <f t="shared" si="33"/>
        <v>0.45279934544436096</v>
      </c>
      <c r="AA76" s="4">
        <f t="shared" si="34"/>
        <v>-23.127582882202045</v>
      </c>
      <c r="AB76" s="4">
        <f t="shared" si="35"/>
        <v>336.87241711779797</v>
      </c>
      <c r="AC76" s="4"/>
      <c r="AD76" s="4">
        <f t="shared" si="36"/>
        <v>1.1965267240737043</v>
      </c>
      <c r="AE76" s="4"/>
    </row>
    <row r="77" spans="12:31" ht="12.75">
      <c r="L77" s="1">
        <f t="shared" si="30"/>
        <v>146.33385290387992</v>
      </c>
      <c r="M77" s="2">
        <v>345</v>
      </c>
      <c r="N77" s="4">
        <f t="shared" si="23"/>
        <v>0.9460869056799978</v>
      </c>
      <c r="O77" s="4">
        <f t="shared" si="24"/>
        <v>0.760273625712656</v>
      </c>
      <c r="P77" s="4">
        <f t="shared" si="25"/>
        <v>0.1878732488555439</v>
      </c>
      <c r="Q77" s="4">
        <f t="shared" si="26"/>
        <v>-0.0020599688882021587</v>
      </c>
      <c r="R77" s="4">
        <f t="shared" si="27"/>
        <v>-2.8483032754514657E-19</v>
      </c>
      <c r="S77" s="5"/>
      <c r="T77" s="4">
        <f t="shared" si="31"/>
        <v>0.18581327996734176</v>
      </c>
      <c r="U77" s="4">
        <f t="shared" si="32"/>
        <v>-0.002059968888202146</v>
      </c>
      <c r="V77" s="5"/>
      <c r="W77" s="5"/>
      <c r="X77" s="4">
        <f t="shared" si="28"/>
        <v>0.44380547600968223</v>
      </c>
      <c r="Y77" s="4">
        <f t="shared" si="29"/>
        <v>-0.13458590345331076</v>
      </c>
      <c r="Z77" s="4">
        <f t="shared" si="33"/>
        <v>0.4637635884203551</v>
      </c>
      <c r="AA77" s="4">
        <f t="shared" si="34"/>
        <v>-16.87015088282482</v>
      </c>
      <c r="AB77" s="4">
        <f t="shared" si="35"/>
        <v>343.1298491171752</v>
      </c>
      <c r="AC77" s="4"/>
      <c r="AD77" s="4">
        <f t="shared" si="36"/>
        <v>1.0964242975994132</v>
      </c>
      <c r="AE77" s="4"/>
    </row>
    <row r="78" spans="12:31" ht="12.75">
      <c r="L78" s="1">
        <f t="shared" si="30"/>
        <v>148.6962883968264</v>
      </c>
      <c r="M78" s="2">
        <v>350</v>
      </c>
      <c r="N78" s="4">
        <f t="shared" si="23"/>
        <v>0.9758785354489526</v>
      </c>
      <c r="O78" s="4">
        <f t="shared" si="24"/>
        <v>0.7751354613728467</v>
      </c>
      <c r="P78" s="4">
        <f t="shared" si="25"/>
        <v>0.20385441907495389</v>
      </c>
      <c r="Q78" s="4">
        <f t="shared" si="26"/>
        <v>-0.0031560554396104744</v>
      </c>
      <c r="R78" s="4">
        <f t="shared" si="27"/>
        <v>4.4710440762587056E-05</v>
      </c>
      <c r="S78" s="5"/>
      <c r="T78" s="4">
        <f t="shared" si="31"/>
        <v>0.20074307407610592</v>
      </c>
      <c r="U78" s="4">
        <f t="shared" si="32"/>
        <v>-0.0031113449988479647</v>
      </c>
      <c r="V78" s="5"/>
      <c r="W78" s="5"/>
      <c r="X78" s="4">
        <f t="shared" si="28"/>
        <v>0.46377850388260455</v>
      </c>
      <c r="Y78" s="4">
        <f t="shared" si="29"/>
        <v>-0.09029705238680426</v>
      </c>
      <c r="Z78" s="4">
        <f t="shared" si="33"/>
        <v>0.47248709858929727</v>
      </c>
      <c r="AA78" s="4">
        <f t="shared" si="34"/>
        <v>-11.01757492131194</v>
      </c>
      <c r="AB78" s="4">
        <f t="shared" si="35"/>
        <v>348.98242507868804</v>
      </c>
      <c r="AC78" s="4"/>
      <c r="AD78" s="4">
        <f t="shared" si="36"/>
        <v>0.8723510168942183</v>
      </c>
      <c r="AE78" s="4"/>
    </row>
    <row r="79" spans="12:31" ht="12.75">
      <c r="L79" s="1">
        <f t="shared" si="30"/>
        <v>151.0866752669522</v>
      </c>
      <c r="M79" s="2">
        <v>355</v>
      </c>
      <c r="N79" s="4">
        <f t="shared" si="23"/>
        <v>0.9939455896869324</v>
      </c>
      <c r="O79" s="4">
        <f t="shared" si="24"/>
        <v>0.784098048132402</v>
      </c>
      <c r="P79" s="4">
        <f t="shared" si="25"/>
        <v>0.213641575926085</v>
      </c>
      <c r="Q79" s="4">
        <f t="shared" si="26"/>
        <v>-0.003871475126584238</v>
      </c>
      <c r="R79" s="4">
        <f t="shared" si="27"/>
        <v>7.74407550295992E-05</v>
      </c>
      <c r="S79" s="5"/>
      <c r="T79" s="4">
        <f t="shared" si="31"/>
        <v>0.20984754155453034</v>
      </c>
      <c r="U79" s="4">
        <f t="shared" si="32"/>
        <v>-0.00379403437155465</v>
      </c>
      <c r="V79" s="5"/>
      <c r="W79" s="5"/>
      <c r="X79" s="4">
        <f t="shared" si="28"/>
        <v>0.4759243466792247</v>
      </c>
      <c r="Y79" s="4">
        <f t="shared" si="29"/>
        <v>-0.04532098622878233</v>
      </c>
      <c r="Z79" s="4">
        <f t="shared" si="33"/>
        <v>0.47807737402516376</v>
      </c>
      <c r="AA79" s="4">
        <f t="shared" si="34"/>
        <v>-5.439718554363277</v>
      </c>
      <c r="AB79" s="4">
        <f t="shared" si="35"/>
        <v>354.56028144563675</v>
      </c>
      <c r="AC79" s="4"/>
      <c r="AD79" s="4">
        <f t="shared" si="36"/>
        <v>0.5590275435866487</v>
      </c>
      <c r="AE79" s="4"/>
    </row>
    <row r="80" spans="12:31" ht="12.75">
      <c r="L80" s="1">
        <f t="shared" si="30"/>
        <v>153.4866752669522</v>
      </c>
      <c r="M80" s="2">
        <v>360</v>
      </c>
      <c r="N80" s="4">
        <f t="shared" si="23"/>
        <v>1.0000000000000002</v>
      </c>
      <c r="O80" s="4">
        <f t="shared" si="24"/>
        <v>0.7870931752943237</v>
      </c>
      <c r="P80" s="4">
        <f t="shared" si="25"/>
        <v>0.21693734160055564</v>
      </c>
      <c r="Q80" s="4">
        <f t="shared" si="26"/>
        <v>-0.004119937776404315</v>
      </c>
      <c r="R80" s="4">
        <f t="shared" si="27"/>
        <v>8.942088152517415E-05</v>
      </c>
      <c r="S80" s="5"/>
      <c r="T80" s="4">
        <f t="shared" si="31"/>
        <v>0.21290682470567657</v>
      </c>
      <c r="U80" s="4">
        <f t="shared" si="32"/>
        <v>-0.0040305168948790715</v>
      </c>
      <c r="V80" s="5"/>
      <c r="W80" s="5"/>
      <c r="X80" s="4">
        <f t="shared" si="28"/>
        <v>0.4800000000000002</v>
      </c>
      <c r="Y80" s="4">
        <f t="shared" si="29"/>
        <v>-1.2741543931049649E-16</v>
      </c>
      <c r="Z80" s="4">
        <f t="shared" si="33"/>
        <v>0.4800000000000002</v>
      </c>
      <c r="AA80" s="4">
        <f t="shared" si="34"/>
        <v>-1.520909774436818E-14</v>
      </c>
      <c r="AB80" s="4">
        <f t="shared" si="35"/>
        <v>360</v>
      </c>
      <c r="AC80" s="4"/>
      <c r="AD80" s="4">
        <f t="shared" si="36"/>
        <v>0.1922625974836445</v>
      </c>
      <c r="AE80" s="4"/>
    </row>
  </sheetData>
  <printOptions horizontalCentered="1"/>
  <pageMargins left="0.7874015748031497" right="0.7874015748031497" top="0.2362204724409449" bottom="0.2362204724409449" header="0.2362204724409449" footer="0.2362204724409449"/>
  <pageSetup horizontalDpi="300" verticalDpi="300" orientation="portrait" paperSize="9" r:id="rId4"/>
  <rowBreaks count="1" manualBreakCount="1">
    <brk id="66" max="6" man="1"/>
  </rowBreaks>
  <drawing r:id="rId3"/>
  <legacyDrawing r:id="rId2"/>
</worksheet>
</file>

<file path=xl/worksheets/sheet4.xml><?xml version="1.0" encoding="utf-8"?>
<worksheet xmlns="http://schemas.openxmlformats.org/spreadsheetml/2006/main" xmlns:r="http://schemas.openxmlformats.org/officeDocument/2006/relationships">
  <dimension ref="A1:S124"/>
  <sheetViews>
    <sheetView tabSelected="1" workbookViewId="0" topLeftCell="A70">
      <selection activeCell="P91" sqref="P91"/>
    </sheetView>
  </sheetViews>
  <sheetFormatPr defaultColWidth="11.421875" defaultRowHeight="12.75"/>
  <cols>
    <col min="1" max="1" width="13.00390625" style="50" bestFit="1" customWidth="1"/>
    <col min="2" max="2" width="5.140625" style="0" customWidth="1"/>
    <col min="3" max="11" width="7.421875" style="1" customWidth="1"/>
    <col min="12" max="12" width="8.7109375" style="1" customWidth="1"/>
    <col min="13" max="17" width="7.421875" style="1" customWidth="1"/>
    <col min="18" max="18" width="7.57421875" style="1" customWidth="1"/>
    <col min="19" max="19" width="11.421875" style="1" customWidth="1"/>
  </cols>
  <sheetData>
    <row r="1" spans="8:12" ht="13.5" thickBot="1">
      <c r="H1" s="24"/>
      <c r="I1" s="24"/>
      <c r="J1" s="24"/>
      <c r="K1" s="24"/>
      <c r="L1" s="24"/>
    </row>
    <row r="2" spans="1:18" ht="12.75">
      <c r="A2" s="2" t="s">
        <v>6</v>
      </c>
      <c r="C2" s="48" t="s">
        <v>0</v>
      </c>
      <c r="D2" s="46"/>
      <c r="E2" s="46"/>
      <c r="F2" s="47"/>
      <c r="G2" s="48" t="s">
        <v>1</v>
      </c>
      <c r="H2" s="46"/>
      <c r="I2" s="46"/>
      <c r="J2" s="46"/>
      <c r="K2" s="46"/>
      <c r="L2" s="47"/>
      <c r="M2" s="48" t="s">
        <v>2</v>
      </c>
      <c r="N2" s="46"/>
      <c r="O2" s="46"/>
      <c r="P2" s="46"/>
      <c r="Q2" s="46"/>
      <c r="R2" s="47"/>
    </row>
    <row r="3" spans="1:19" ht="13.5" thickBot="1">
      <c r="A3" s="2">
        <f>59/2</f>
        <v>29.5</v>
      </c>
      <c r="C3" s="16" t="s">
        <v>22</v>
      </c>
      <c r="D3" s="17" t="s">
        <v>23</v>
      </c>
      <c r="E3" s="17" t="s">
        <v>24</v>
      </c>
      <c r="F3" s="19" t="s">
        <v>38</v>
      </c>
      <c r="G3" s="16" t="s">
        <v>22</v>
      </c>
      <c r="H3" s="17" t="s">
        <v>23</v>
      </c>
      <c r="I3" s="17" t="s">
        <v>24</v>
      </c>
      <c r="J3" s="17" t="s">
        <v>38</v>
      </c>
      <c r="K3" s="17" t="s">
        <v>25</v>
      </c>
      <c r="L3" s="19" t="s">
        <v>41</v>
      </c>
      <c r="M3" s="16" t="s">
        <v>22</v>
      </c>
      <c r="N3" s="17" t="s">
        <v>23</v>
      </c>
      <c r="O3" s="17" t="s">
        <v>24</v>
      </c>
      <c r="P3" s="17" t="s">
        <v>38</v>
      </c>
      <c r="Q3" s="17" t="s">
        <v>25</v>
      </c>
      <c r="R3" s="19" t="s">
        <v>41</v>
      </c>
      <c r="S3" s="2"/>
    </row>
    <row r="4" spans="3:19" ht="12.75">
      <c r="C4" s="40">
        <v>0</v>
      </c>
      <c r="D4" s="37">
        <v>-180</v>
      </c>
      <c r="E4" s="37">
        <v>-180</v>
      </c>
      <c r="F4" s="38">
        <v>0</v>
      </c>
      <c r="G4" s="52">
        <f>COS(C4*PI()/180)/$A$15</f>
        <v>0.8024629163168205</v>
      </c>
      <c r="H4" s="49">
        <f>COS(D4*PI()/180)/$A$15</f>
        <v>-0.8024629163168205</v>
      </c>
      <c r="I4" s="49">
        <f>COS(E4*PI()/180)/$A$15</f>
        <v>-0.8024629163168205</v>
      </c>
      <c r="J4" s="49">
        <f>COS(F4*PI()/180)/$A$15</f>
        <v>0.8024629163168205</v>
      </c>
      <c r="K4" s="49">
        <f>G4+H4+I4+J4</f>
        <v>0</v>
      </c>
      <c r="L4" s="53">
        <f>A$18*K4</f>
        <v>0</v>
      </c>
      <c r="M4" s="52">
        <f>$A$3/$A$6*COS(2*C4*PI()/180)/$A$15</f>
        <v>0.20061572907920514</v>
      </c>
      <c r="N4" s="49">
        <f>$A$3/$A$6*COS(2*D4*PI()/180)/$A$15</f>
        <v>0.20061572907920514</v>
      </c>
      <c r="O4" s="49">
        <f>$A$3/$A$6*COS(2*E4*PI()/180)/$A$15</f>
        <v>0.20061572907920514</v>
      </c>
      <c r="P4" s="49">
        <f>$A$3/$A$6*COS(2*F4*PI()/180)/$A$15</f>
        <v>0.20061572907920514</v>
      </c>
      <c r="Q4" s="49">
        <f>M4+N4+O4+P4</f>
        <v>0.8024629163168205</v>
      </c>
      <c r="R4" s="53">
        <f>A$18*Q4</f>
        <v>15671.036824884888</v>
      </c>
      <c r="S4" s="4"/>
    </row>
    <row r="5" spans="1:19" ht="12.75">
      <c r="A5" s="2" t="s">
        <v>7</v>
      </c>
      <c r="C5" s="20">
        <v>5</v>
      </c>
      <c r="D5" s="28">
        <f>D$4+$C5</f>
        <v>-175</v>
      </c>
      <c r="E5" s="28">
        <f aca="true" t="shared" si="0" ref="E5:F20">E$4+$C5</f>
        <v>-175</v>
      </c>
      <c r="F5" s="51">
        <f t="shared" si="0"/>
        <v>5</v>
      </c>
      <c r="G5" s="54">
        <f>COS(C5*PI()/180)/$A$15</f>
        <v>0.7994093026500567</v>
      </c>
      <c r="H5" s="29">
        <f>COS(D5*PI()/180)/$A$15</f>
        <v>-0.7994093026500567</v>
      </c>
      <c r="I5" s="29">
        <f>COS(E5*PI()/180)/$A$15</f>
        <v>-0.7994093026500567</v>
      </c>
      <c r="J5" s="29">
        <f>COS(F5*PI()/180)/$A$15</f>
        <v>0.7994093026500567</v>
      </c>
      <c r="K5" s="29">
        <f aca="true" t="shared" si="1" ref="K5:K68">G5+H5+I5+J5</f>
        <v>0</v>
      </c>
      <c r="L5" s="55">
        <f aca="true" t="shared" si="2" ref="L5:L68">A$18*K5</f>
        <v>0</v>
      </c>
      <c r="M5" s="54">
        <f>$A$3/$A$6*COS(2*C5*PI()/180)/$A$15</f>
        <v>0.1975679253733979</v>
      </c>
      <c r="N5" s="29">
        <f>$A$3/$A$6*COS(2*D5*PI()/180)/$A$15</f>
        <v>0.19756792537339787</v>
      </c>
      <c r="O5" s="29">
        <f>$A$3/$A$6*COS(2*E5*PI()/180)/$A$15</f>
        <v>0.19756792537339787</v>
      </c>
      <c r="P5" s="29">
        <f>$A$3/$A$6*COS(2*F5*PI()/180)/$A$15</f>
        <v>0.1975679253733979</v>
      </c>
      <c r="Q5" s="29">
        <f aca="true" t="shared" si="3" ref="Q5:Q68">M5+N5+O5+P5</f>
        <v>0.7902717014935916</v>
      </c>
      <c r="R5" s="55">
        <f aca="true" t="shared" si="4" ref="R5:R68">A$18*Q5</f>
        <v>15432.958562886455</v>
      </c>
      <c r="S5" s="4"/>
    </row>
    <row r="6" spans="1:19" ht="12.75">
      <c r="A6" s="2">
        <f>4*A3</f>
        <v>118</v>
      </c>
      <c r="C6" s="20">
        <v>10</v>
      </c>
      <c r="D6" s="28">
        <f aca="true" t="shared" si="5" ref="D6:F37">D$4+$C6</f>
        <v>-170</v>
      </c>
      <c r="E6" s="28">
        <f t="shared" si="0"/>
        <v>-170</v>
      </c>
      <c r="F6" s="51">
        <f t="shared" si="0"/>
        <v>10</v>
      </c>
      <c r="G6" s="54">
        <f>COS(C6*PI()/180)/$A$15</f>
        <v>0.7902717014935916</v>
      </c>
      <c r="H6" s="29">
        <f>COS(D6*PI()/180)/$A$15</f>
        <v>-0.7902717014935916</v>
      </c>
      <c r="I6" s="29">
        <f>COS(E6*PI()/180)/$A$15</f>
        <v>-0.7902717014935916</v>
      </c>
      <c r="J6" s="29">
        <f>COS(F6*PI()/180)/$A$15</f>
        <v>0.7902717014935916</v>
      </c>
      <c r="K6" s="29">
        <f t="shared" si="1"/>
        <v>0</v>
      </c>
      <c r="L6" s="55">
        <f t="shared" si="2"/>
        <v>0</v>
      </c>
      <c r="M6" s="54">
        <f>$A$3/$A$6*COS(2*C6*PI()/180)/$A$15</f>
        <v>0.18851712022931405</v>
      </c>
      <c r="N6" s="29">
        <f>$A$3/$A$6*COS(2*D6*PI()/180)/$A$15</f>
        <v>0.18851712022931405</v>
      </c>
      <c r="O6" s="29">
        <f>$A$3/$A$6*COS(2*E6*PI()/180)/$A$15</f>
        <v>0.18851712022931405</v>
      </c>
      <c r="P6" s="29">
        <f>$A$3/$A$6*COS(2*F6*PI()/180)/$A$15</f>
        <v>0.18851712022931405</v>
      </c>
      <c r="Q6" s="29">
        <f t="shared" si="3"/>
        <v>0.7540684809172562</v>
      </c>
      <c r="R6" s="55">
        <f t="shared" si="4"/>
        <v>14725.957664408563</v>
      </c>
      <c r="S6" s="4"/>
    </row>
    <row r="7" spans="3:19" ht="12.75">
      <c r="C7" s="20">
        <v>15</v>
      </c>
      <c r="D7" s="28">
        <f t="shared" si="5"/>
        <v>-165</v>
      </c>
      <c r="E7" s="28">
        <f t="shared" si="0"/>
        <v>-165</v>
      </c>
      <c r="F7" s="51">
        <f t="shared" si="0"/>
        <v>15</v>
      </c>
      <c r="G7" s="54">
        <f>COS(C7*PI()/180)/$A$15</f>
        <v>0.7751196555096603</v>
      </c>
      <c r="H7" s="29">
        <f>COS(D7*PI()/180)/$A$15</f>
        <v>-0.7751196555096602</v>
      </c>
      <c r="I7" s="29">
        <f>COS(E7*PI()/180)/$A$15</f>
        <v>-0.7751196555096602</v>
      </c>
      <c r="J7" s="29">
        <f>COS(F7*PI()/180)/$A$15</f>
        <v>0.7751196555096603</v>
      </c>
      <c r="K7" s="29">
        <f t="shared" si="1"/>
        <v>0</v>
      </c>
      <c r="L7" s="55">
        <f t="shared" si="2"/>
        <v>0</v>
      </c>
      <c r="M7" s="54">
        <f>$A$3/$A$6*COS(2*C7*PI()/180)/$A$15</f>
        <v>0.1737383177813282</v>
      </c>
      <c r="N7" s="29">
        <f>$A$3/$A$6*COS(2*D7*PI()/180)/$A$15</f>
        <v>0.17373831778132812</v>
      </c>
      <c r="O7" s="29">
        <f>$A$3/$A$6*COS(2*E7*PI()/180)/$A$15</f>
        <v>0.17373831778132812</v>
      </c>
      <c r="P7" s="29">
        <f>$A$3/$A$6*COS(2*F7*PI()/180)/$A$15</f>
        <v>0.1737383177813282</v>
      </c>
      <c r="Q7" s="29">
        <f t="shared" si="3"/>
        <v>0.6949532711253126</v>
      </c>
      <c r="R7" s="55">
        <f t="shared" si="4"/>
        <v>13571.515993991741</v>
      </c>
      <c r="S7" s="4"/>
    </row>
    <row r="8" spans="1:19" ht="12.75" customHeight="1">
      <c r="A8" s="50" t="s">
        <v>39</v>
      </c>
      <c r="C8" s="20">
        <v>20</v>
      </c>
      <c r="D8" s="28">
        <f t="shared" si="5"/>
        <v>-160</v>
      </c>
      <c r="E8" s="28">
        <f t="shared" si="0"/>
        <v>-160</v>
      </c>
      <c r="F8" s="51">
        <f t="shared" si="0"/>
        <v>20</v>
      </c>
      <c r="G8" s="54">
        <f>COS(C8*PI()/180)/$A$15</f>
        <v>0.7540684809172562</v>
      </c>
      <c r="H8" s="29">
        <f>COS(D8*PI()/180)/$A$15</f>
        <v>-0.7540684809172561</v>
      </c>
      <c r="I8" s="29">
        <f>COS(E8*PI()/180)/$A$15</f>
        <v>-0.7540684809172561</v>
      </c>
      <c r="J8" s="29">
        <f>COS(F8*PI()/180)/$A$15</f>
        <v>0.7540684809172562</v>
      </c>
      <c r="K8" s="29">
        <f t="shared" si="1"/>
        <v>0</v>
      </c>
      <c r="L8" s="55">
        <f t="shared" si="2"/>
        <v>0</v>
      </c>
      <c r="M8" s="54">
        <f>$A$3/$A$6*COS(2*C8*PI()/180)/$A$15</f>
        <v>0.15368056446338746</v>
      </c>
      <c r="N8" s="29">
        <f>$A$3/$A$6*COS(2*D8*PI()/180)/$A$15</f>
        <v>0.1536805644633874</v>
      </c>
      <c r="O8" s="29">
        <f>$A$3/$A$6*COS(2*E8*PI()/180)/$A$15</f>
        <v>0.1536805644633874</v>
      </c>
      <c r="P8" s="29">
        <f>$A$3/$A$6*COS(2*F8*PI()/180)/$A$15</f>
        <v>0.15368056446338746</v>
      </c>
      <c r="Q8" s="29">
        <f t="shared" si="3"/>
        <v>0.6147222578535497</v>
      </c>
      <c r="R8" s="55">
        <f t="shared" si="4"/>
        <v>12004.71067761594</v>
      </c>
      <c r="S8" s="4"/>
    </row>
    <row r="9" spans="1:19" ht="12.75">
      <c r="A9" s="50">
        <v>360</v>
      </c>
      <c r="C9" s="20">
        <v>25</v>
      </c>
      <c r="D9" s="28">
        <f t="shared" si="5"/>
        <v>-155</v>
      </c>
      <c r="E9" s="28">
        <f t="shared" si="0"/>
        <v>-155</v>
      </c>
      <c r="F9" s="51">
        <f t="shared" si="0"/>
        <v>25</v>
      </c>
      <c r="G9" s="54">
        <f>COS(C9*PI()/180)/$A$15</f>
        <v>0.7272783898660741</v>
      </c>
      <c r="H9" s="29">
        <f>COS(D9*PI()/180)/$A$15</f>
        <v>-0.7272783898660741</v>
      </c>
      <c r="I9" s="29">
        <f>COS(E9*PI()/180)/$A$15</f>
        <v>-0.7272783898660741</v>
      </c>
      <c r="J9" s="29">
        <f>COS(F9*PI()/180)/$A$15</f>
        <v>0.7272783898660741</v>
      </c>
      <c r="K9" s="29">
        <f t="shared" si="1"/>
        <v>0</v>
      </c>
      <c r="L9" s="55">
        <f t="shared" si="2"/>
        <v>0</v>
      </c>
      <c r="M9" s="54">
        <f>$A$3/$A$6*COS(2*C9*PI()/180)/$A$15</f>
        <v>0.12895330496034463</v>
      </c>
      <c r="N9" s="29">
        <f>$A$3/$A$6*COS(2*D9*PI()/180)/$A$15</f>
        <v>0.1289533049603446</v>
      </c>
      <c r="O9" s="29">
        <f>$A$3/$A$6*COS(2*E9*PI()/180)/$A$15</f>
        <v>0.1289533049603446</v>
      </c>
      <c r="P9" s="29">
        <f>$A$3/$A$6*COS(2*F9*PI()/180)/$A$15</f>
        <v>0.12895330496034463</v>
      </c>
      <c r="Q9" s="29">
        <f t="shared" si="3"/>
        <v>0.5158132198413785</v>
      </c>
      <c r="R9" s="55">
        <f t="shared" si="4"/>
        <v>10073.148301977491</v>
      </c>
      <c r="S9" s="4"/>
    </row>
    <row r="10" spans="3:19" ht="12.75">
      <c r="C10" s="20">
        <v>30</v>
      </c>
      <c r="D10" s="28">
        <f t="shared" si="5"/>
        <v>-150</v>
      </c>
      <c r="E10" s="28">
        <f t="shared" si="0"/>
        <v>-150</v>
      </c>
      <c r="F10" s="51">
        <f t="shared" si="0"/>
        <v>30</v>
      </c>
      <c r="G10" s="54">
        <f>COS(C10*PI()/180)/$A$15</f>
        <v>0.6949532711253128</v>
      </c>
      <c r="H10" s="29">
        <f>COS(D10*PI()/180)/$A$15</f>
        <v>-0.6949532711253128</v>
      </c>
      <c r="I10" s="29">
        <f>COS(E10*PI()/180)/$A$15</f>
        <v>-0.6949532711253128</v>
      </c>
      <c r="J10" s="29">
        <f>COS(F10*PI()/180)/$A$15</f>
        <v>0.6949532711253128</v>
      </c>
      <c r="K10" s="29">
        <f t="shared" si="1"/>
        <v>0</v>
      </c>
      <c r="L10" s="55">
        <f t="shared" si="2"/>
        <v>0</v>
      </c>
      <c r="M10" s="54">
        <f>$A$3/$A$6*COS(2*C10*PI()/180)/$A$15</f>
        <v>0.1003078645396026</v>
      </c>
      <c r="N10" s="29">
        <f>$A$3/$A$6*COS(2*D10*PI()/180)/$A$15</f>
        <v>0.1003078645396026</v>
      </c>
      <c r="O10" s="29">
        <f>$A$3/$A$6*COS(2*E10*PI()/180)/$A$15</f>
        <v>0.1003078645396026</v>
      </c>
      <c r="P10" s="29">
        <f>$A$3/$A$6*COS(2*F10*PI()/180)/$A$15</f>
        <v>0.1003078645396026</v>
      </c>
      <c r="Q10" s="29">
        <f t="shared" si="3"/>
        <v>0.4012314581584104</v>
      </c>
      <c r="R10" s="55">
        <f t="shared" si="4"/>
        <v>7835.518412442447</v>
      </c>
      <c r="S10" s="4"/>
    </row>
    <row r="11" spans="1:19" ht="12.75">
      <c r="A11" s="50" t="s">
        <v>40</v>
      </c>
      <c r="C11" s="20">
        <v>35</v>
      </c>
      <c r="D11" s="28">
        <f t="shared" si="5"/>
        <v>-145</v>
      </c>
      <c r="E11" s="28">
        <f t="shared" si="0"/>
        <v>-145</v>
      </c>
      <c r="F11" s="51">
        <f t="shared" si="0"/>
        <v>35</v>
      </c>
      <c r="G11" s="54">
        <f>COS(C11*PI()/180)/$A$15</f>
        <v>0.6573391383670297</v>
      </c>
      <c r="H11" s="29">
        <f>COS(D11*PI()/180)/$A$15</f>
        <v>-0.6573391383670295</v>
      </c>
      <c r="I11" s="29">
        <f>COS(E11*PI()/180)/$A$15</f>
        <v>-0.6573391383670295</v>
      </c>
      <c r="J11" s="29">
        <f>COS(F11*PI()/180)/$A$15</f>
        <v>0.6573391383670297</v>
      </c>
      <c r="K11" s="29">
        <f t="shared" si="1"/>
        <v>0</v>
      </c>
      <c r="L11" s="55">
        <f t="shared" si="2"/>
        <v>0</v>
      </c>
      <c r="M11" s="54">
        <f>$A$3/$A$6*COS(2*C11*PI()/180)/$A$15</f>
        <v>0.06861462041305329</v>
      </c>
      <c r="N11" s="29">
        <f>$A$3/$A$6*COS(2*D11*PI()/180)/$A$15</f>
        <v>0.06861462041305315</v>
      </c>
      <c r="O11" s="29">
        <f>$A$3/$A$6*COS(2*E11*PI()/180)/$A$15</f>
        <v>0.06861462041305315</v>
      </c>
      <c r="P11" s="29">
        <f>$A$3/$A$6*COS(2*F11*PI()/180)/$A$15</f>
        <v>0.06861462041305329</v>
      </c>
      <c r="Q11" s="29">
        <f t="shared" si="3"/>
        <v>0.27445848165221287</v>
      </c>
      <c r="R11" s="55">
        <f t="shared" si="4"/>
        <v>5359.810260908958</v>
      </c>
      <c r="S11" s="4"/>
    </row>
    <row r="12" spans="1:19" ht="12.75">
      <c r="A12" s="50">
        <v>11600</v>
      </c>
      <c r="C12" s="20">
        <v>40</v>
      </c>
      <c r="D12" s="28">
        <f t="shared" si="5"/>
        <v>-140</v>
      </c>
      <c r="E12" s="28">
        <f t="shared" si="0"/>
        <v>-140</v>
      </c>
      <c r="F12" s="51">
        <f t="shared" si="0"/>
        <v>40</v>
      </c>
      <c r="G12" s="54">
        <f>COS(C12*PI()/180)/$A$15</f>
        <v>0.6147222578535498</v>
      </c>
      <c r="H12" s="29">
        <f>COS(D12*PI()/180)/$A$15</f>
        <v>-0.6147222578535497</v>
      </c>
      <c r="I12" s="29">
        <f>COS(E12*PI()/180)/$A$15</f>
        <v>-0.6147222578535497</v>
      </c>
      <c r="J12" s="29">
        <f>COS(F12*PI()/180)/$A$15</f>
        <v>0.6147222578535498</v>
      </c>
      <c r="K12" s="29">
        <f t="shared" si="1"/>
        <v>0</v>
      </c>
      <c r="L12" s="55">
        <f t="shared" si="2"/>
        <v>0</v>
      </c>
      <c r="M12" s="54">
        <f>$A$3/$A$6*COS(2*C12*PI()/180)/$A$15</f>
        <v>0.03483655576592659</v>
      </c>
      <c r="N12" s="29">
        <f>$A$3/$A$6*COS(2*D12*PI()/180)/$A$15</f>
        <v>0.0348365557659265</v>
      </c>
      <c r="O12" s="29">
        <f>$A$3/$A$6*COS(2*E12*PI()/180)/$A$15</f>
        <v>0.0348365557659265</v>
      </c>
      <c r="P12" s="29">
        <f>$A$3/$A$6*COS(2*F12*PI()/180)/$A$15</f>
        <v>0.03483655576592659</v>
      </c>
      <c r="Q12" s="29">
        <f t="shared" si="3"/>
        <v>0.1393462230637062</v>
      </c>
      <c r="R12" s="55">
        <f t="shared" si="4"/>
        <v>2721.246986792617</v>
      </c>
      <c r="S12" s="4"/>
    </row>
    <row r="13" spans="3:19" ht="12.75">
      <c r="C13" s="20">
        <v>45</v>
      </c>
      <c r="D13" s="28">
        <f t="shared" si="5"/>
        <v>-135</v>
      </c>
      <c r="E13" s="28">
        <f t="shared" si="0"/>
        <v>-135</v>
      </c>
      <c r="F13" s="51">
        <f t="shared" si="0"/>
        <v>45</v>
      </c>
      <c r="G13" s="54">
        <f>COS(C13*PI()/180)/$A$15</f>
        <v>0.5674269697783568</v>
      </c>
      <c r="H13" s="29">
        <f>COS(D13*PI()/180)/$A$15</f>
        <v>-0.5674269697783567</v>
      </c>
      <c r="I13" s="29">
        <f>COS(E13*PI()/180)/$A$15</f>
        <v>-0.5674269697783567</v>
      </c>
      <c r="J13" s="29">
        <f>COS(F13*PI()/180)/$A$15</f>
        <v>0.5674269697783568</v>
      </c>
      <c r="K13" s="29">
        <f t="shared" si="1"/>
        <v>0</v>
      </c>
      <c r="L13" s="55">
        <f t="shared" si="2"/>
        <v>0</v>
      </c>
      <c r="M13" s="54">
        <f>$A$3/$A$6*COS(2*C13*PI()/180)/$A$15</f>
        <v>1.2289202525587724E-17</v>
      </c>
      <c r="N13" s="29">
        <f>$A$3/$A$6*COS(2*D13*PI()/180)/$A$15</f>
        <v>-3.6867607576763175E-17</v>
      </c>
      <c r="O13" s="29">
        <f>$A$3/$A$6*COS(2*E13*PI()/180)/$A$15</f>
        <v>-3.6867607576763175E-17</v>
      </c>
      <c r="P13" s="29">
        <f>$A$3/$A$6*COS(2*F13*PI()/180)/$A$15</f>
        <v>1.2289202525587724E-17</v>
      </c>
      <c r="Q13" s="29">
        <f t="shared" si="3"/>
        <v>-4.915681010235091E-17</v>
      </c>
      <c r="R13" s="55">
        <f t="shared" si="4"/>
        <v>-9.599673276411906E-13</v>
      </c>
      <c r="S13" s="4"/>
    </row>
    <row r="14" spans="1:19" ht="12.75">
      <c r="A14" s="2" t="s">
        <v>10</v>
      </c>
      <c r="C14" s="20">
        <v>50</v>
      </c>
      <c r="D14" s="28">
        <f t="shared" si="5"/>
        <v>-130</v>
      </c>
      <c r="E14" s="28">
        <f t="shared" si="0"/>
        <v>-130</v>
      </c>
      <c r="F14" s="51">
        <f t="shared" si="0"/>
        <v>50</v>
      </c>
      <c r="G14" s="54">
        <f>COS(C14*PI()/180)/$A$15</f>
        <v>0.5158132198413785</v>
      </c>
      <c r="H14" s="29">
        <f>COS(D14*PI()/180)/$A$15</f>
        <v>-0.5158132198413785</v>
      </c>
      <c r="I14" s="29">
        <f>COS(E14*PI()/180)/$A$15</f>
        <v>-0.5158132198413785</v>
      </c>
      <c r="J14" s="29">
        <f>COS(F14*PI()/180)/$A$15</f>
        <v>0.5158132198413785</v>
      </c>
      <c r="K14" s="29">
        <f t="shared" si="1"/>
        <v>0</v>
      </c>
      <c r="L14" s="55">
        <f t="shared" si="2"/>
        <v>0</v>
      </c>
      <c r="M14" s="54">
        <f>$A$3/$A$6*COS(2*C14*PI()/180)/$A$15</f>
        <v>-0.03483655576592657</v>
      </c>
      <c r="N14" s="29">
        <f>$A$3/$A$6*COS(2*D14*PI()/180)/$A$15</f>
        <v>-0.03483655576592658</v>
      </c>
      <c r="O14" s="29">
        <f>$A$3/$A$6*COS(2*E14*PI()/180)/$A$15</f>
        <v>-0.03483655576592658</v>
      </c>
      <c r="P14" s="29">
        <f>$A$3/$A$6*COS(2*F14*PI()/180)/$A$15</f>
        <v>-0.03483655576592657</v>
      </c>
      <c r="Q14" s="29">
        <f t="shared" si="3"/>
        <v>-0.1393462230637063</v>
      </c>
      <c r="R14" s="55">
        <f t="shared" si="4"/>
        <v>-2721.2469867926193</v>
      </c>
      <c r="S14" s="4"/>
    </row>
    <row r="15" spans="1:19" ht="12.75">
      <c r="A15" s="24">
        <f>COS(C4*PI()/180)+$A$3/$A$6*COS(2*C4*PI()/180)-1/4*($A$3/$A$6)^3*COS(4*C4*PI()/180)+1/14*($A$3/$A$6)^5*COS(6*C4*PI()/180)</f>
        <v>1.2461635044642858</v>
      </c>
      <c r="C15" s="20">
        <v>55</v>
      </c>
      <c r="D15" s="28">
        <f t="shared" si="5"/>
        <v>-125</v>
      </c>
      <c r="E15" s="28">
        <f t="shared" si="0"/>
        <v>-125</v>
      </c>
      <c r="F15" s="51">
        <f t="shared" si="0"/>
        <v>55</v>
      </c>
      <c r="G15" s="54">
        <f>COS(C15*PI()/180)/$A$15</f>
        <v>0.4602738198448697</v>
      </c>
      <c r="H15" s="29">
        <f>COS(D15*PI()/180)/$A$15</f>
        <v>-0.4602738198448694</v>
      </c>
      <c r="I15" s="29">
        <f>COS(E15*PI()/180)/$A$15</f>
        <v>-0.4602738198448694</v>
      </c>
      <c r="J15" s="29">
        <f>COS(F15*PI()/180)/$A$15</f>
        <v>0.4602738198448697</v>
      </c>
      <c r="K15" s="29">
        <f t="shared" si="1"/>
        <v>5.551115123125783E-16</v>
      </c>
      <c r="L15" s="55">
        <f t="shared" si="2"/>
        <v>1.0840591851017615E-11</v>
      </c>
      <c r="M15" s="54">
        <f>$A$3/$A$6*COS(2*C15*PI()/180)/$A$15</f>
        <v>-0.06861462041305326</v>
      </c>
      <c r="N15" s="29">
        <f>$A$3/$A$6*COS(2*D15*PI()/180)/$A$15</f>
        <v>-0.0686146204130534</v>
      </c>
      <c r="O15" s="29">
        <f>$A$3/$A$6*COS(2*E15*PI()/180)/$A$15</f>
        <v>-0.0686146204130534</v>
      </c>
      <c r="P15" s="29">
        <f>$A$3/$A$6*COS(2*F15*PI()/180)/$A$15</f>
        <v>-0.06861462041305326</v>
      </c>
      <c r="Q15" s="29">
        <f t="shared" si="3"/>
        <v>-0.2744584816522133</v>
      </c>
      <c r="R15" s="55">
        <f t="shared" si="4"/>
        <v>-5359.810260908967</v>
      </c>
      <c r="S15" s="4"/>
    </row>
    <row r="16" spans="3:19" ht="12.75">
      <c r="C16" s="20">
        <v>60</v>
      </c>
      <c r="D16" s="28">
        <f t="shared" si="5"/>
        <v>-120</v>
      </c>
      <c r="E16" s="28">
        <f t="shared" si="0"/>
        <v>-120</v>
      </c>
      <c r="F16" s="51">
        <f t="shared" si="0"/>
        <v>60</v>
      </c>
      <c r="G16" s="54">
        <f>COS(C16*PI()/180)/$A$15</f>
        <v>0.4012314581584104</v>
      </c>
      <c r="H16" s="29">
        <f>COS(D16*PI()/180)/$A$15</f>
        <v>-0.4012314581584101</v>
      </c>
      <c r="I16" s="29">
        <f>COS(E16*PI()/180)/$A$15</f>
        <v>-0.4012314581584101</v>
      </c>
      <c r="J16" s="29">
        <f>COS(F16*PI()/180)/$A$15</f>
        <v>0.4012314581584104</v>
      </c>
      <c r="K16" s="29">
        <f t="shared" si="1"/>
        <v>5.551115123125783E-16</v>
      </c>
      <c r="L16" s="55">
        <f t="shared" si="2"/>
        <v>1.0840591851017615E-11</v>
      </c>
      <c r="M16" s="54">
        <f>$A$3/$A$6*COS(2*C16*PI()/180)/$A$15</f>
        <v>-0.10030786453960253</v>
      </c>
      <c r="N16" s="29">
        <f>$A$3/$A$6*COS(2*D16*PI()/180)/$A$15</f>
        <v>-0.10030786453960265</v>
      </c>
      <c r="O16" s="29">
        <f>$A$3/$A$6*COS(2*E16*PI()/180)/$A$15</f>
        <v>-0.10030786453960265</v>
      </c>
      <c r="P16" s="29">
        <f>$A$3/$A$6*COS(2*F16*PI()/180)/$A$15</f>
        <v>-0.10030786453960253</v>
      </c>
      <c r="Q16" s="29">
        <f t="shared" si="3"/>
        <v>-0.4012314581584103</v>
      </c>
      <c r="R16" s="55">
        <f t="shared" si="4"/>
        <v>-7835.518412442445</v>
      </c>
      <c r="S16" s="4"/>
    </row>
    <row r="17" spans="1:19" ht="14.25">
      <c r="A17" s="50" t="s">
        <v>42</v>
      </c>
      <c r="C17" s="20">
        <v>65</v>
      </c>
      <c r="D17" s="28">
        <f t="shared" si="5"/>
        <v>-115</v>
      </c>
      <c r="E17" s="28">
        <f t="shared" si="0"/>
        <v>-115</v>
      </c>
      <c r="F17" s="51">
        <f t="shared" si="0"/>
        <v>65</v>
      </c>
      <c r="G17" s="54">
        <f>COS(C17*PI()/180)/$A$15</f>
        <v>0.33913548280518707</v>
      </c>
      <c r="H17" s="29">
        <f>COS(D17*PI()/180)/$A$15</f>
        <v>-0.33913548280518696</v>
      </c>
      <c r="I17" s="29">
        <f>COS(E17*PI()/180)/$A$15</f>
        <v>-0.33913548280518696</v>
      </c>
      <c r="J17" s="29">
        <f>COS(F17*PI()/180)/$A$15</f>
        <v>0.33913548280518707</v>
      </c>
      <c r="K17" s="29">
        <f t="shared" si="1"/>
        <v>0</v>
      </c>
      <c r="L17" s="55">
        <f t="shared" si="2"/>
        <v>0</v>
      </c>
      <c r="M17" s="54">
        <f>$A$3/$A$6*COS(2*C17*PI()/180)/$A$15</f>
        <v>-0.12895330496034463</v>
      </c>
      <c r="N17" s="29">
        <f>$A$3/$A$6*COS(2*D17*PI()/180)/$A$15</f>
        <v>-0.12895330496034466</v>
      </c>
      <c r="O17" s="29">
        <f>$A$3/$A$6*COS(2*E17*PI()/180)/$A$15</f>
        <v>-0.12895330496034466</v>
      </c>
      <c r="P17" s="29">
        <f>$A$3/$A$6*COS(2*F17*PI()/180)/$A$15</f>
        <v>-0.12895330496034463</v>
      </c>
      <c r="Q17" s="29">
        <f t="shared" si="3"/>
        <v>-0.5158132198413785</v>
      </c>
      <c r="R17" s="55">
        <f t="shared" si="4"/>
        <v>-10073.148301977491</v>
      </c>
      <c r="S17" s="4"/>
    </row>
    <row r="18" spans="1:19" ht="12.75">
      <c r="A18" s="57">
        <f>A$15*A$3/1000*A$9/1000*(A$12/60*2*PI())^2</f>
        <v>19528.674168287427</v>
      </c>
      <c r="C18" s="20">
        <v>70</v>
      </c>
      <c r="D18" s="28">
        <f t="shared" si="5"/>
        <v>-110</v>
      </c>
      <c r="E18" s="28">
        <f t="shared" si="0"/>
        <v>-110</v>
      </c>
      <c r="F18" s="51">
        <f t="shared" si="0"/>
        <v>70</v>
      </c>
      <c r="G18" s="54">
        <f>COS(C18*PI()/180)/$A$15</f>
        <v>0.27445848165221315</v>
      </c>
      <c r="H18" s="29">
        <f>COS(D18*PI()/180)/$A$15</f>
        <v>-0.27445848165221304</v>
      </c>
      <c r="I18" s="29">
        <f>COS(E18*PI()/180)/$A$15</f>
        <v>-0.27445848165221304</v>
      </c>
      <c r="J18" s="29">
        <f>COS(F18*PI()/180)/$A$15</f>
        <v>0.27445848165221315</v>
      </c>
      <c r="K18" s="29">
        <f t="shared" si="1"/>
        <v>0</v>
      </c>
      <c r="L18" s="55">
        <f t="shared" si="2"/>
        <v>0</v>
      </c>
      <c r="M18" s="54">
        <f>$A$3/$A$6*COS(2*C18*PI()/180)/$A$15</f>
        <v>-0.15368056446338743</v>
      </c>
      <c r="N18" s="29">
        <f>$A$3/$A$6*COS(2*D18*PI()/180)/$A$15</f>
        <v>-0.15368056446338746</v>
      </c>
      <c r="O18" s="29">
        <f>$A$3/$A$6*COS(2*E18*PI()/180)/$A$15</f>
        <v>-0.15368056446338746</v>
      </c>
      <c r="P18" s="29">
        <f>$A$3/$A$6*COS(2*F18*PI()/180)/$A$15</f>
        <v>-0.15368056446338743</v>
      </c>
      <c r="Q18" s="29">
        <f t="shared" si="3"/>
        <v>-0.6147222578535498</v>
      </c>
      <c r="R18" s="55">
        <f t="shared" si="4"/>
        <v>-12004.710677615942</v>
      </c>
      <c r="S18" s="4"/>
    </row>
    <row r="19" spans="3:19" ht="12.75">
      <c r="C19" s="20">
        <v>75</v>
      </c>
      <c r="D19" s="28">
        <f t="shared" si="5"/>
        <v>-105</v>
      </c>
      <c r="E19" s="28">
        <f t="shared" si="0"/>
        <v>-105</v>
      </c>
      <c r="F19" s="51">
        <f t="shared" si="0"/>
        <v>75</v>
      </c>
      <c r="G19" s="54">
        <f>COS(C19*PI()/180)/$A$15</f>
        <v>0.2076926857313035</v>
      </c>
      <c r="H19" s="29">
        <f>COS(D19*PI()/180)/$A$15</f>
        <v>-0.2076926857313036</v>
      </c>
      <c r="I19" s="29">
        <f>COS(E19*PI()/180)/$A$15</f>
        <v>-0.2076926857313036</v>
      </c>
      <c r="J19" s="29">
        <f>COS(F19*PI()/180)/$A$15</f>
        <v>0.2076926857313035</v>
      </c>
      <c r="K19" s="29">
        <f t="shared" si="1"/>
        <v>0</v>
      </c>
      <c r="L19" s="55">
        <f t="shared" si="2"/>
        <v>0</v>
      </c>
      <c r="M19" s="54">
        <f>$A$3/$A$6*COS(2*C19*PI()/180)/$A$15</f>
        <v>-0.1737383177813282</v>
      </c>
      <c r="N19" s="29">
        <f>$A$3/$A$6*COS(2*D19*PI()/180)/$A$15</f>
        <v>-0.17373831778132817</v>
      </c>
      <c r="O19" s="29">
        <f>$A$3/$A$6*COS(2*E19*PI()/180)/$A$15</f>
        <v>-0.17373831778132817</v>
      </c>
      <c r="P19" s="29">
        <f>$A$3/$A$6*COS(2*F19*PI()/180)/$A$15</f>
        <v>-0.1737383177813282</v>
      </c>
      <c r="Q19" s="29">
        <f t="shared" si="3"/>
        <v>-0.6949532711253128</v>
      </c>
      <c r="R19" s="55">
        <f t="shared" si="4"/>
        <v>-13571.515993991745</v>
      </c>
      <c r="S19" s="4"/>
    </row>
    <row r="20" spans="3:19" ht="12.75">
      <c r="C20" s="20">
        <v>80</v>
      </c>
      <c r="D20" s="28">
        <f t="shared" si="5"/>
        <v>-100</v>
      </c>
      <c r="E20" s="28">
        <f t="shared" si="0"/>
        <v>-100</v>
      </c>
      <c r="F20" s="51">
        <f t="shared" si="0"/>
        <v>80</v>
      </c>
      <c r="G20" s="54">
        <f>COS(C20*PI()/180)/$A$15</f>
        <v>0.13934622306370636</v>
      </c>
      <c r="H20" s="29">
        <f>COS(D20*PI()/180)/$A$15</f>
        <v>-0.13934622306370628</v>
      </c>
      <c r="I20" s="29">
        <f>COS(E20*PI()/180)/$A$15</f>
        <v>-0.13934622306370628</v>
      </c>
      <c r="J20" s="29">
        <f>COS(F20*PI()/180)/$A$15</f>
        <v>0.13934622306370636</v>
      </c>
      <c r="K20" s="29">
        <f t="shared" si="1"/>
        <v>0</v>
      </c>
      <c r="L20" s="55">
        <f t="shared" si="2"/>
        <v>0</v>
      </c>
      <c r="M20" s="54">
        <f>$A$3/$A$6*COS(2*C20*PI()/180)/$A$15</f>
        <v>-0.18851712022931402</v>
      </c>
      <c r="N20" s="29">
        <f>$A$3/$A$6*COS(2*D20*PI()/180)/$A$15</f>
        <v>-0.18851712022931405</v>
      </c>
      <c r="O20" s="29">
        <f>$A$3/$A$6*COS(2*E20*PI()/180)/$A$15</f>
        <v>-0.18851712022931405</v>
      </c>
      <c r="P20" s="29">
        <f>$A$3/$A$6*COS(2*F20*PI()/180)/$A$15</f>
        <v>-0.18851712022931402</v>
      </c>
      <c r="Q20" s="29">
        <f t="shared" si="3"/>
        <v>-0.7540684809172561</v>
      </c>
      <c r="R20" s="55">
        <f t="shared" si="4"/>
        <v>-14725.95766440856</v>
      </c>
      <c r="S20" s="4"/>
    </row>
    <row r="21" spans="3:19" ht="12.75">
      <c r="C21" s="20">
        <v>85</v>
      </c>
      <c r="D21" s="28">
        <f t="shared" si="5"/>
        <v>-95</v>
      </c>
      <c r="E21" s="28">
        <f t="shared" si="5"/>
        <v>-95</v>
      </c>
      <c r="F21" s="51">
        <f t="shared" si="5"/>
        <v>85</v>
      </c>
      <c r="G21" s="54">
        <f>COS(C21*PI()/180)/$A$15</f>
        <v>0.06993925149904433</v>
      </c>
      <c r="H21" s="29">
        <f>COS(D21*PI()/180)/$A$15</f>
        <v>-0.06993925149904441</v>
      </c>
      <c r="I21" s="29">
        <f>COS(E21*PI()/180)/$A$15</f>
        <v>-0.06993925149904441</v>
      </c>
      <c r="J21" s="29">
        <f>COS(F21*PI()/180)/$A$15</f>
        <v>0.06993925149904433</v>
      </c>
      <c r="K21" s="29">
        <f t="shared" si="1"/>
        <v>-1.6653345369377348E-16</v>
      </c>
      <c r="L21" s="55">
        <f t="shared" si="2"/>
        <v>-3.2521775553052846E-12</v>
      </c>
      <c r="M21" s="54">
        <f>$A$3/$A$6*COS(2*C21*PI()/180)/$A$15</f>
        <v>-0.1975679253733979</v>
      </c>
      <c r="N21" s="29">
        <f>$A$3/$A$6*COS(2*D21*PI()/180)/$A$15</f>
        <v>-0.1975679253733979</v>
      </c>
      <c r="O21" s="29">
        <f>$A$3/$A$6*COS(2*E21*PI()/180)/$A$15</f>
        <v>-0.1975679253733979</v>
      </c>
      <c r="P21" s="29">
        <f>$A$3/$A$6*COS(2*F21*PI()/180)/$A$15</f>
        <v>-0.1975679253733979</v>
      </c>
      <c r="Q21" s="29">
        <f t="shared" si="3"/>
        <v>-0.7902717014935916</v>
      </c>
      <c r="R21" s="55">
        <f t="shared" si="4"/>
        <v>-15432.958562886455</v>
      </c>
      <c r="S21" s="4"/>
    </row>
    <row r="22" spans="3:19" ht="12.75">
      <c r="C22" s="20">
        <v>90</v>
      </c>
      <c r="D22" s="28">
        <f t="shared" si="5"/>
        <v>-90</v>
      </c>
      <c r="E22" s="28">
        <f t="shared" si="5"/>
        <v>-90</v>
      </c>
      <c r="F22" s="51">
        <f t="shared" si="5"/>
        <v>90</v>
      </c>
      <c r="G22" s="54">
        <f>COS(C22*PI()/180)/$A$15</f>
        <v>4.9156810102350895E-17</v>
      </c>
      <c r="H22" s="29">
        <f>COS(D22*PI()/180)/$A$15</f>
        <v>4.9156810102350895E-17</v>
      </c>
      <c r="I22" s="29">
        <f>COS(E22*PI()/180)/$A$15</f>
        <v>4.9156810102350895E-17</v>
      </c>
      <c r="J22" s="29">
        <f>COS(F22*PI()/180)/$A$15</f>
        <v>4.9156810102350895E-17</v>
      </c>
      <c r="K22" s="29">
        <f t="shared" si="1"/>
        <v>1.9662724040940358E-16</v>
      </c>
      <c r="L22" s="55">
        <f t="shared" si="2"/>
        <v>3.8398693105647616E-12</v>
      </c>
      <c r="M22" s="54">
        <f>$A$3/$A$6*COS(2*C22*PI()/180)/$A$15</f>
        <v>-0.20061572907920514</v>
      </c>
      <c r="N22" s="29">
        <f>$A$3/$A$6*COS(2*D22*PI()/180)/$A$15</f>
        <v>-0.20061572907920514</v>
      </c>
      <c r="O22" s="29">
        <f>$A$3/$A$6*COS(2*E22*PI()/180)/$A$15</f>
        <v>-0.20061572907920514</v>
      </c>
      <c r="P22" s="29">
        <f>$A$3/$A$6*COS(2*F22*PI()/180)/$A$15</f>
        <v>-0.20061572907920514</v>
      </c>
      <c r="Q22" s="29">
        <f t="shared" si="3"/>
        <v>-0.8024629163168205</v>
      </c>
      <c r="R22" s="55">
        <f t="shared" si="4"/>
        <v>-15671.036824884888</v>
      </c>
      <c r="S22" s="4"/>
    </row>
    <row r="23" spans="3:19" ht="12.75">
      <c r="C23" s="20">
        <v>95</v>
      </c>
      <c r="D23" s="28">
        <f t="shared" si="5"/>
        <v>-85</v>
      </c>
      <c r="E23" s="28">
        <f t="shared" si="5"/>
        <v>-85</v>
      </c>
      <c r="F23" s="51">
        <f t="shared" si="5"/>
        <v>95</v>
      </c>
      <c r="G23" s="54">
        <f>COS(C23*PI()/180)/$A$15</f>
        <v>-0.06993925149904441</v>
      </c>
      <c r="H23" s="29">
        <f>COS(D23*PI()/180)/$A$15</f>
        <v>0.06993925149904433</v>
      </c>
      <c r="I23" s="29">
        <f>COS(E23*PI()/180)/$A$15</f>
        <v>0.06993925149904433</v>
      </c>
      <c r="J23" s="29">
        <f>COS(F23*PI()/180)/$A$15</f>
        <v>-0.06993925149904441</v>
      </c>
      <c r="K23" s="29">
        <f t="shared" si="1"/>
        <v>-1.6653345369377348E-16</v>
      </c>
      <c r="L23" s="55">
        <f t="shared" si="2"/>
        <v>-3.2521775553052846E-12</v>
      </c>
      <c r="M23" s="54">
        <f>$A$3/$A$6*COS(2*C23*PI()/180)/$A$15</f>
        <v>-0.1975679253733979</v>
      </c>
      <c r="N23" s="29">
        <f>$A$3/$A$6*COS(2*D23*PI()/180)/$A$15</f>
        <v>-0.1975679253733979</v>
      </c>
      <c r="O23" s="29">
        <f>$A$3/$A$6*COS(2*E23*PI()/180)/$A$15</f>
        <v>-0.1975679253733979</v>
      </c>
      <c r="P23" s="29">
        <f>$A$3/$A$6*COS(2*F23*PI()/180)/$A$15</f>
        <v>-0.1975679253733979</v>
      </c>
      <c r="Q23" s="29">
        <f t="shared" si="3"/>
        <v>-0.7902717014935916</v>
      </c>
      <c r="R23" s="55">
        <f t="shared" si="4"/>
        <v>-15432.958562886455</v>
      </c>
      <c r="S23" s="4"/>
    </row>
    <row r="24" spans="3:19" ht="12.75">
      <c r="C24" s="20">
        <v>100</v>
      </c>
      <c r="D24" s="28">
        <f t="shared" si="5"/>
        <v>-80</v>
      </c>
      <c r="E24" s="28">
        <f t="shared" si="5"/>
        <v>-80</v>
      </c>
      <c r="F24" s="51">
        <f t="shared" si="5"/>
        <v>100</v>
      </c>
      <c r="G24" s="54">
        <f>COS(C24*PI()/180)/$A$15</f>
        <v>-0.13934622306370628</v>
      </c>
      <c r="H24" s="29">
        <f>COS(D24*PI()/180)/$A$15</f>
        <v>0.13934622306370636</v>
      </c>
      <c r="I24" s="29">
        <f>COS(E24*PI()/180)/$A$15</f>
        <v>0.13934622306370636</v>
      </c>
      <c r="J24" s="29">
        <f>COS(F24*PI()/180)/$A$15</f>
        <v>-0.13934622306370628</v>
      </c>
      <c r="K24" s="29">
        <f t="shared" si="1"/>
        <v>0</v>
      </c>
      <c r="L24" s="55">
        <f t="shared" si="2"/>
        <v>0</v>
      </c>
      <c r="M24" s="54">
        <f>$A$3/$A$6*COS(2*C24*PI()/180)/$A$15</f>
        <v>-0.18851712022931405</v>
      </c>
      <c r="N24" s="29">
        <f>$A$3/$A$6*COS(2*D24*PI()/180)/$A$15</f>
        <v>-0.18851712022931402</v>
      </c>
      <c r="O24" s="29">
        <f>$A$3/$A$6*COS(2*E24*PI()/180)/$A$15</f>
        <v>-0.18851712022931402</v>
      </c>
      <c r="P24" s="29">
        <f>$A$3/$A$6*COS(2*F24*PI()/180)/$A$15</f>
        <v>-0.18851712022931405</v>
      </c>
      <c r="Q24" s="29">
        <f t="shared" si="3"/>
        <v>-0.7540684809172562</v>
      </c>
      <c r="R24" s="55">
        <f t="shared" si="4"/>
        <v>-14725.957664408563</v>
      </c>
      <c r="S24" s="4"/>
    </row>
    <row r="25" spans="3:19" ht="12.75">
      <c r="C25" s="20">
        <v>105</v>
      </c>
      <c r="D25" s="28">
        <f t="shared" si="5"/>
        <v>-75</v>
      </c>
      <c r="E25" s="28">
        <f t="shared" si="5"/>
        <v>-75</v>
      </c>
      <c r="F25" s="51">
        <f t="shared" si="5"/>
        <v>105</v>
      </c>
      <c r="G25" s="54">
        <f>COS(C25*PI()/180)/$A$15</f>
        <v>-0.2076926857313036</v>
      </c>
      <c r="H25" s="29">
        <f>COS(D25*PI()/180)/$A$15</f>
        <v>0.2076926857313035</v>
      </c>
      <c r="I25" s="29">
        <f>COS(E25*PI()/180)/$A$15</f>
        <v>0.2076926857313035</v>
      </c>
      <c r="J25" s="29">
        <f>COS(F25*PI()/180)/$A$15</f>
        <v>-0.2076926857313036</v>
      </c>
      <c r="K25" s="29">
        <f t="shared" si="1"/>
        <v>0</v>
      </c>
      <c r="L25" s="55">
        <f t="shared" si="2"/>
        <v>0</v>
      </c>
      <c r="M25" s="54">
        <f>$A$3/$A$6*COS(2*C25*PI()/180)/$A$15</f>
        <v>-0.17373831778132817</v>
      </c>
      <c r="N25" s="29">
        <f>$A$3/$A$6*COS(2*D25*PI()/180)/$A$15</f>
        <v>-0.1737383177813282</v>
      </c>
      <c r="O25" s="29">
        <f>$A$3/$A$6*COS(2*E25*PI()/180)/$A$15</f>
        <v>-0.1737383177813282</v>
      </c>
      <c r="P25" s="29">
        <f>$A$3/$A$6*COS(2*F25*PI()/180)/$A$15</f>
        <v>-0.17373831778132817</v>
      </c>
      <c r="Q25" s="29">
        <f t="shared" si="3"/>
        <v>-0.6949532711253128</v>
      </c>
      <c r="R25" s="55">
        <f t="shared" si="4"/>
        <v>-13571.515993991745</v>
      </c>
      <c r="S25" s="4"/>
    </row>
    <row r="26" spans="3:19" ht="12.75">
      <c r="C26" s="20">
        <v>110</v>
      </c>
      <c r="D26" s="28">
        <f t="shared" si="5"/>
        <v>-70</v>
      </c>
      <c r="E26" s="28">
        <f t="shared" si="5"/>
        <v>-70</v>
      </c>
      <c r="F26" s="51">
        <f t="shared" si="5"/>
        <v>110</v>
      </c>
      <c r="G26" s="54">
        <f>COS(C26*PI()/180)/$A$15</f>
        <v>-0.27445848165221304</v>
      </c>
      <c r="H26" s="29">
        <f>COS(D26*PI()/180)/$A$15</f>
        <v>0.27445848165221315</v>
      </c>
      <c r="I26" s="29">
        <f>COS(E26*PI()/180)/$A$15</f>
        <v>0.27445848165221315</v>
      </c>
      <c r="J26" s="29">
        <f>COS(F26*PI()/180)/$A$15</f>
        <v>-0.27445848165221304</v>
      </c>
      <c r="K26" s="29">
        <f t="shared" si="1"/>
        <v>0</v>
      </c>
      <c r="L26" s="55">
        <f t="shared" si="2"/>
        <v>0</v>
      </c>
      <c r="M26" s="54">
        <f>$A$3/$A$6*COS(2*C26*PI()/180)/$A$15</f>
        <v>-0.15368056446338746</v>
      </c>
      <c r="N26" s="29">
        <f>$A$3/$A$6*COS(2*D26*PI()/180)/$A$15</f>
        <v>-0.15368056446338743</v>
      </c>
      <c r="O26" s="29">
        <f>$A$3/$A$6*COS(2*E26*PI()/180)/$A$15</f>
        <v>-0.15368056446338743</v>
      </c>
      <c r="P26" s="29">
        <f>$A$3/$A$6*COS(2*F26*PI()/180)/$A$15</f>
        <v>-0.15368056446338746</v>
      </c>
      <c r="Q26" s="29">
        <f t="shared" si="3"/>
        <v>-0.6147222578535498</v>
      </c>
      <c r="R26" s="55">
        <f t="shared" si="4"/>
        <v>-12004.710677615942</v>
      </c>
      <c r="S26" s="4"/>
    </row>
    <row r="27" spans="3:19" ht="12.75">
      <c r="C27" s="20">
        <v>115</v>
      </c>
      <c r="D27" s="28">
        <f t="shared" si="5"/>
        <v>-65</v>
      </c>
      <c r="E27" s="28">
        <f t="shared" si="5"/>
        <v>-65</v>
      </c>
      <c r="F27" s="51">
        <f t="shared" si="5"/>
        <v>115</v>
      </c>
      <c r="G27" s="54">
        <f>COS(C27*PI()/180)/$A$15</f>
        <v>-0.33913548280518696</v>
      </c>
      <c r="H27" s="29">
        <f>COS(D27*PI()/180)/$A$15</f>
        <v>0.33913548280518707</v>
      </c>
      <c r="I27" s="29">
        <f>COS(E27*PI()/180)/$A$15</f>
        <v>0.33913548280518707</v>
      </c>
      <c r="J27" s="29">
        <f>COS(F27*PI()/180)/$A$15</f>
        <v>-0.33913548280518696</v>
      </c>
      <c r="K27" s="29">
        <f t="shared" si="1"/>
        <v>0</v>
      </c>
      <c r="L27" s="55">
        <f t="shared" si="2"/>
        <v>0</v>
      </c>
      <c r="M27" s="54">
        <f>$A$3/$A$6*COS(2*C27*PI()/180)/$A$15</f>
        <v>-0.12895330496034466</v>
      </c>
      <c r="N27" s="29">
        <f>$A$3/$A$6*COS(2*D27*PI()/180)/$A$15</f>
        <v>-0.12895330496034463</v>
      </c>
      <c r="O27" s="29">
        <f>$A$3/$A$6*COS(2*E27*PI()/180)/$A$15</f>
        <v>-0.12895330496034463</v>
      </c>
      <c r="P27" s="29">
        <f>$A$3/$A$6*COS(2*F27*PI()/180)/$A$15</f>
        <v>-0.12895330496034466</v>
      </c>
      <c r="Q27" s="29">
        <f t="shared" si="3"/>
        <v>-0.5158132198413785</v>
      </c>
      <c r="R27" s="55">
        <f t="shared" si="4"/>
        <v>-10073.148301977491</v>
      </c>
      <c r="S27" s="4"/>
    </row>
    <row r="28" spans="3:19" ht="12.75">
      <c r="C28" s="20">
        <v>120</v>
      </c>
      <c r="D28" s="28">
        <f t="shared" si="5"/>
        <v>-60</v>
      </c>
      <c r="E28" s="28">
        <f t="shared" si="5"/>
        <v>-60</v>
      </c>
      <c r="F28" s="51">
        <f t="shared" si="5"/>
        <v>120</v>
      </c>
      <c r="G28" s="54">
        <f>COS(C28*PI()/180)/$A$15</f>
        <v>-0.4012314581584101</v>
      </c>
      <c r="H28" s="29">
        <f>COS(D28*PI()/180)/$A$15</f>
        <v>0.4012314581584104</v>
      </c>
      <c r="I28" s="29">
        <f>COS(E28*PI()/180)/$A$15</f>
        <v>0.4012314581584104</v>
      </c>
      <c r="J28" s="29">
        <f>COS(F28*PI()/180)/$A$15</f>
        <v>-0.4012314581584101</v>
      </c>
      <c r="K28" s="29">
        <f t="shared" si="1"/>
        <v>5.551115123125783E-16</v>
      </c>
      <c r="L28" s="55">
        <f t="shared" si="2"/>
        <v>1.0840591851017615E-11</v>
      </c>
      <c r="M28" s="54">
        <f>$A$3/$A$6*COS(2*C28*PI()/180)/$A$15</f>
        <v>-0.10030786453960265</v>
      </c>
      <c r="N28" s="29">
        <f>$A$3/$A$6*COS(2*D28*PI()/180)/$A$15</f>
        <v>-0.10030786453960253</v>
      </c>
      <c r="O28" s="29">
        <f>$A$3/$A$6*COS(2*E28*PI()/180)/$A$15</f>
        <v>-0.10030786453960253</v>
      </c>
      <c r="P28" s="29">
        <f>$A$3/$A$6*COS(2*F28*PI()/180)/$A$15</f>
        <v>-0.10030786453960265</v>
      </c>
      <c r="Q28" s="29">
        <f t="shared" si="3"/>
        <v>-0.4012314581584104</v>
      </c>
      <c r="R28" s="55">
        <f t="shared" si="4"/>
        <v>-7835.518412442447</v>
      </c>
      <c r="S28" s="4"/>
    </row>
    <row r="29" spans="3:19" ht="12.75">
      <c r="C29" s="20">
        <v>125</v>
      </c>
      <c r="D29" s="28">
        <f t="shared" si="5"/>
        <v>-55</v>
      </c>
      <c r="E29" s="28">
        <f t="shared" si="5"/>
        <v>-55</v>
      </c>
      <c r="F29" s="51">
        <f t="shared" si="5"/>
        <v>125</v>
      </c>
      <c r="G29" s="54">
        <f>COS(C29*PI()/180)/$A$15</f>
        <v>-0.4602738198448694</v>
      </c>
      <c r="H29" s="29">
        <f>COS(D29*PI()/180)/$A$15</f>
        <v>0.4602738198448697</v>
      </c>
      <c r="I29" s="29">
        <f>COS(E29*PI()/180)/$A$15</f>
        <v>0.4602738198448697</v>
      </c>
      <c r="J29" s="29">
        <f>COS(F29*PI()/180)/$A$15</f>
        <v>-0.4602738198448694</v>
      </c>
      <c r="K29" s="29">
        <f t="shared" si="1"/>
        <v>5.551115123125783E-16</v>
      </c>
      <c r="L29" s="55">
        <f t="shared" si="2"/>
        <v>1.0840591851017615E-11</v>
      </c>
      <c r="M29" s="54">
        <f>$A$3/$A$6*COS(2*C29*PI()/180)/$A$15</f>
        <v>-0.0686146204130534</v>
      </c>
      <c r="N29" s="29">
        <f>$A$3/$A$6*COS(2*D29*PI()/180)/$A$15</f>
        <v>-0.06861462041305326</v>
      </c>
      <c r="O29" s="29">
        <f>$A$3/$A$6*COS(2*E29*PI()/180)/$A$15</f>
        <v>-0.06861462041305326</v>
      </c>
      <c r="P29" s="29">
        <f>$A$3/$A$6*COS(2*F29*PI()/180)/$A$15</f>
        <v>-0.0686146204130534</v>
      </c>
      <c r="Q29" s="29">
        <f t="shared" si="3"/>
        <v>-0.2744584816522133</v>
      </c>
      <c r="R29" s="55">
        <f t="shared" si="4"/>
        <v>-5359.810260908967</v>
      </c>
      <c r="S29" s="4"/>
    </row>
    <row r="30" spans="3:19" ht="12.75">
      <c r="C30" s="20">
        <v>130</v>
      </c>
      <c r="D30" s="28">
        <f t="shared" si="5"/>
        <v>-50</v>
      </c>
      <c r="E30" s="28">
        <f t="shared" si="5"/>
        <v>-50</v>
      </c>
      <c r="F30" s="51">
        <f t="shared" si="5"/>
        <v>130</v>
      </c>
      <c r="G30" s="54">
        <f>COS(C30*PI()/180)/$A$15</f>
        <v>-0.5158132198413785</v>
      </c>
      <c r="H30" s="29">
        <f>COS(D30*PI()/180)/$A$15</f>
        <v>0.5158132198413785</v>
      </c>
      <c r="I30" s="29">
        <f>COS(E30*PI()/180)/$A$15</f>
        <v>0.5158132198413785</v>
      </c>
      <c r="J30" s="29">
        <f>COS(F30*PI()/180)/$A$15</f>
        <v>-0.5158132198413785</v>
      </c>
      <c r="K30" s="29">
        <f t="shared" si="1"/>
        <v>0</v>
      </c>
      <c r="L30" s="55">
        <f t="shared" si="2"/>
        <v>0</v>
      </c>
      <c r="M30" s="54">
        <f>$A$3/$A$6*COS(2*C30*PI()/180)/$A$15</f>
        <v>-0.03483655576592658</v>
      </c>
      <c r="N30" s="29">
        <f>$A$3/$A$6*COS(2*D30*PI()/180)/$A$15</f>
        <v>-0.03483655576592657</v>
      </c>
      <c r="O30" s="29">
        <f>$A$3/$A$6*COS(2*E30*PI()/180)/$A$15</f>
        <v>-0.03483655576592657</v>
      </c>
      <c r="P30" s="29">
        <f>$A$3/$A$6*COS(2*F30*PI()/180)/$A$15</f>
        <v>-0.03483655576592658</v>
      </c>
      <c r="Q30" s="29">
        <f t="shared" si="3"/>
        <v>-0.1393462230637063</v>
      </c>
      <c r="R30" s="55">
        <f t="shared" si="4"/>
        <v>-2721.2469867926193</v>
      </c>
      <c r="S30" s="4"/>
    </row>
    <row r="31" spans="3:19" ht="12.75">
      <c r="C31" s="20">
        <v>135</v>
      </c>
      <c r="D31" s="28">
        <f t="shared" si="5"/>
        <v>-45</v>
      </c>
      <c r="E31" s="28">
        <f t="shared" si="5"/>
        <v>-45</v>
      </c>
      <c r="F31" s="51">
        <f t="shared" si="5"/>
        <v>135</v>
      </c>
      <c r="G31" s="54">
        <f>COS(C31*PI()/180)/$A$15</f>
        <v>-0.5674269697783567</v>
      </c>
      <c r="H31" s="29">
        <f>COS(D31*PI()/180)/$A$15</f>
        <v>0.5674269697783568</v>
      </c>
      <c r="I31" s="29">
        <f>COS(E31*PI()/180)/$A$15</f>
        <v>0.5674269697783568</v>
      </c>
      <c r="J31" s="29">
        <f>COS(F31*PI()/180)/$A$15</f>
        <v>-0.5674269697783567</v>
      </c>
      <c r="K31" s="29">
        <f t="shared" si="1"/>
        <v>0</v>
      </c>
      <c r="L31" s="55">
        <f t="shared" si="2"/>
        <v>0</v>
      </c>
      <c r="M31" s="54">
        <f>$A$3/$A$6*COS(2*C31*PI()/180)/$A$15</f>
        <v>-3.6867607576763175E-17</v>
      </c>
      <c r="N31" s="29">
        <f>$A$3/$A$6*COS(2*D31*PI()/180)/$A$15</f>
        <v>1.2289202525587724E-17</v>
      </c>
      <c r="O31" s="29">
        <f>$A$3/$A$6*COS(2*E31*PI()/180)/$A$15</f>
        <v>1.2289202525587724E-17</v>
      </c>
      <c r="P31" s="29">
        <f>$A$3/$A$6*COS(2*F31*PI()/180)/$A$15</f>
        <v>-3.6867607576763175E-17</v>
      </c>
      <c r="Q31" s="29">
        <f t="shared" si="3"/>
        <v>-4.91568101023509E-17</v>
      </c>
      <c r="R31" s="55">
        <f t="shared" si="4"/>
        <v>-9.599673276411904E-13</v>
      </c>
      <c r="S31" s="4"/>
    </row>
    <row r="32" spans="3:19" ht="12.75">
      <c r="C32" s="20">
        <v>140</v>
      </c>
      <c r="D32" s="28">
        <f t="shared" si="5"/>
        <v>-40</v>
      </c>
      <c r="E32" s="28">
        <f t="shared" si="5"/>
        <v>-40</v>
      </c>
      <c r="F32" s="51">
        <f t="shared" si="5"/>
        <v>140</v>
      </c>
      <c r="G32" s="54">
        <f>COS(C32*PI()/180)/$A$15</f>
        <v>-0.6147222578535497</v>
      </c>
      <c r="H32" s="29">
        <f>COS(D32*PI()/180)/$A$15</f>
        <v>0.6147222578535498</v>
      </c>
      <c r="I32" s="29">
        <f>COS(E32*PI()/180)/$A$15</f>
        <v>0.6147222578535498</v>
      </c>
      <c r="J32" s="29">
        <f>COS(F32*PI()/180)/$A$15</f>
        <v>-0.6147222578535497</v>
      </c>
      <c r="K32" s="29">
        <f t="shared" si="1"/>
        <v>0</v>
      </c>
      <c r="L32" s="55">
        <f t="shared" si="2"/>
        <v>0</v>
      </c>
      <c r="M32" s="54">
        <f>$A$3/$A$6*COS(2*C32*PI()/180)/$A$15</f>
        <v>0.0348365557659265</v>
      </c>
      <c r="N32" s="29">
        <f>$A$3/$A$6*COS(2*D32*PI()/180)/$A$15</f>
        <v>0.03483655576592659</v>
      </c>
      <c r="O32" s="29">
        <f>$A$3/$A$6*COS(2*E32*PI()/180)/$A$15</f>
        <v>0.03483655576592659</v>
      </c>
      <c r="P32" s="29">
        <f>$A$3/$A$6*COS(2*F32*PI()/180)/$A$15</f>
        <v>0.0348365557659265</v>
      </c>
      <c r="Q32" s="29">
        <f t="shared" si="3"/>
        <v>0.1393462230637062</v>
      </c>
      <c r="R32" s="55">
        <f t="shared" si="4"/>
        <v>2721.246986792617</v>
      </c>
      <c r="S32" s="4"/>
    </row>
    <row r="33" spans="3:19" ht="12.75">
      <c r="C33" s="20">
        <v>145</v>
      </c>
      <c r="D33" s="28">
        <f t="shared" si="5"/>
        <v>-35</v>
      </c>
      <c r="E33" s="28">
        <f t="shared" si="5"/>
        <v>-35</v>
      </c>
      <c r="F33" s="51">
        <f t="shared" si="5"/>
        <v>145</v>
      </c>
      <c r="G33" s="54">
        <f>COS(C33*PI()/180)/$A$15</f>
        <v>-0.6573391383670295</v>
      </c>
      <c r="H33" s="29">
        <f>COS(D33*PI()/180)/$A$15</f>
        <v>0.6573391383670297</v>
      </c>
      <c r="I33" s="29">
        <f>COS(E33*PI()/180)/$A$15</f>
        <v>0.6573391383670297</v>
      </c>
      <c r="J33" s="29">
        <f>COS(F33*PI()/180)/$A$15</f>
        <v>-0.6573391383670295</v>
      </c>
      <c r="K33" s="29">
        <f t="shared" si="1"/>
        <v>0</v>
      </c>
      <c r="L33" s="55">
        <f t="shared" si="2"/>
        <v>0</v>
      </c>
      <c r="M33" s="54">
        <f>$A$3/$A$6*COS(2*C33*PI()/180)/$A$15</f>
        <v>0.06861462041305315</v>
      </c>
      <c r="N33" s="29">
        <f>$A$3/$A$6*COS(2*D33*PI()/180)/$A$15</f>
        <v>0.06861462041305329</v>
      </c>
      <c r="O33" s="29">
        <f>$A$3/$A$6*COS(2*E33*PI()/180)/$A$15</f>
        <v>0.06861462041305329</v>
      </c>
      <c r="P33" s="29">
        <f>$A$3/$A$6*COS(2*F33*PI()/180)/$A$15</f>
        <v>0.06861462041305315</v>
      </c>
      <c r="Q33" s="29">
        <f t="shared" si="3"/>
        <v>0.27445848165221287</v>
      </c>
      <c r="R33" s="55">
        <f t="shared" si="4"/>
        <v>5359.810260908958</v>
      </c>
      <c r="S33" s="4"/>
    </row>
    <row r="34" spans="3:19" ht="12.75">
      <c r="C34" s="20">
        <v>150</v>
      </c>
      <c r="D34" s="28">
        <f t="shared" si="5"/>
        <v>-30</v>
      </c>
      <c r="E34" s="28">
        <f t="shared" si="5"/>
        <v>-30</v>
      </c>
      <c r="F34" s="51">
        <f t="shared" si="5"/>
        <v>150</v>
      </c>
      <c r="G34" s="54">
        <f>COS(C34*PI()/180)/$A$15</f>
        <v>-0.6949532711253128</v>
      </c>
      <c r="H34" s="29">
        <f>COS(D34*PI()/180)/$A$15</f>
        <v>0.6949532711253128</v>
      </c>
      <c r="I34" s="29">
        <f>COS(E34*PI()/180)/$A$15</f>
        <v>0.6949532711253128</v>
      </c>
      <c r="J34" s="29">
        <f>COS(F34*PI()/180)/$A$15</f>
        <v>-0.6949532711253128</v>
      </c>
      <c r="K34" s="29">
        <f t="shared" si="1"/>
        <v>0</v>
      </c>
      <c r="L34" s="55">
        <f t="shared" si="2"/>
        <v>0</v>
      </c>
      <c r="M34" s="54">
        <f>$A$3/$A$6*COS(2*C34*PI()/180)/$A$15</f>
        <v>0.1003078645396026</v>
      </c>
      <c r="N34" s="29">
        <f>$A$3/$A$6*COS(2*D34*PI()/180)/$A$15</f>
        <v>0.1003078645396026</v>
      </c>
      <c r="O34" s="29">
        <f>$A$3/$A$6*COS(2*E34*PI()/180)/$A$15</f>
        <v>0.1003078645396026</v>
      </c>
      <c r="P34" s="29">
        <f>$A$3/$A$6*COS(2*F34*PI()/180)/$A$15</f>
        <v>0.1003078645396026</v>
      </c>
      <c r="Q34" s="29">
        <f t="shared" si="3"/>
        <v>0.4012314581584104</v>
      </c>
      <c r="R34" s="55">
        <f t="shared" si="4"/>
        <v>7835.518412442447</v>
      </c>
      <c r="S34" s="4"/>
    </row>
    <row r="35" spans="3:19" ht="12.75">
      <c r="C35" s="20">
        <v>155</v>
      </c>
      <c r="D35" s="28">
        <f t="shared" si="5"/>
        <v>-25</v>
      </c>
      <c r="E35" s="28">
        <f t="shared" si="5"/>
        <v>-25</v>
      </c>
      <c r="F35" s="51">
        <f t="shared" si="5"/>
        <v>155</v>
      </c>
      <c r="G35" s="54">
        <f>COS(C35*PI()/180)/$A$15</f>
        <v>-0.7272783898660741</v>
      </c>
      <c r="H35" s="29">
        <f>COS(D35*PI()/180)/$A$15</f>
        <v>0.7272783898660741</v>
      </c>
      <c r="I35" s="29">
        <f>COS(E35*PI()/180)/$A$15</f>
        <v>0.7272783898660741</v>
      </c>
      <c r="J35" s="29">
        <f>COS(F35*PI()/180)/$A$15</f>
        <v>-0.7272783898660741</v>
      </c>
      <c r="K35" s="29">
        <f t="shared" si="1"/>
        <v>0</v>
      </c>
      <c r="L35" s="55">
        <f t="shared" si="2"/>
        <v>0</v>
      </c>
      <c r="M35" s="54">
        <f>$A$3/$A$6*COS(2*C35*PI()/180)/$A$15</f>
        <v>0.1289533049603446</v>
      </c>
      <c r="N35" s="29">
        <f>$A$3/$A$6*COS(2*D35*PI()/180)/$A$15</f>
        <v>0.12895330496034463</v>
      </c>
      <c r="O35" s="29">
        <f>$A$3/$A$6*COS(2*E35*PI()/180)/$A$15</f>
        <v>0.12895330496034463</v>
      </c>
      <c r="P35" s="29">
        <f>$A$3/$A$6*COS(2*F35*PI()/180)/$A$15</f>
        <v>0.1289533049603446</v>
      </c>
      <c r="Q35" s="29">
        <f t="shared" si="3"/>
        <v>0.5158132198413785</v>
      </c>
      <c r="R35" s="55">
        <f t="shared" si="4"/>
        <v>10073.148301977491</v>
      </c>
      <c r="S35" s="4"/>
    </row>
    <row r="36" spans="3:19" ht="12.75">
      <c r="C36" s="20">
        <v>160</v>
      </c>
      <c r="D36" s="28">
        <f t="shared" si="5"/>
        <v>-20</v>
      </c>
      <c r="E36" s="28">
        <f t="shared" si="5"/>
        <v>-20</v>
      </c>
      <c r="F36" s="51">
        <f t="shared" si="5"/>
        <v>160</v>
      </c>
      <c r="G36" s="54">
        <f>COS(C36*PI()/180)/$A$15</f>
        <v>-0.7540684809172561</v>
      </c>
      <c r="H36" s="29">
        <f>COS(D36*PI()/180)/$A$15</f>
        <v>0.7540684809172562</v>
      </c>
      <c r="I36" s="29">
        <f>COS(E36*PI()/180)/$A$15</f>
        <v>0.7540684809172562</v>
      </c>
      <c r="J36" s="29">
        <f>COS(F36*PI()/180)/$A$15</f>
        <v>-0.7540684809172561</v>
      </c>
      <c r="K36" s="29">
        <f t="shared" si="1"/>
        <v>0</v>
      </c>
      <c r="L36" s="55">
        <f t="shared" si="2"/>
        <v>0</v>
      </c>
      <c r="M36" s="54">
        <f>$A$3/$A$6*COS(2*C36*PI()/180)/$A$15</f>
        <v>0.1536805644633874</v>
      </c>
      <c r="N36" s="29">
        <f>$A$3/$A$6*COS(2*D36*PI()/180)/$A$15</f>
        <v>0.15368056446338746</v>
      </c>
      <c r="O36" s="29">
        <f>$A$3/$A$6*COS(2*E36*PI()/180)/$A$15</f>
        <v>0.15368056446338746</v>
      </c>
      <c r="P36" s="29">
        <f>$A$3/$A$6*COS(2*F36*PI()/180)/$A$15</f>
        <v>0.1536805644633874</v>
      </c>
      <c r="Q36" s="29">
        <f t="shared" si="3"/>
        <v>0.6147222578535497</v>
      </c>
      <c r="R36" s="55">
        <f t="shared" si="4"/>
        <v>12004.71067761594</v>
      </c>
      <c r="S36" s="4"/>
    </row>
    <row r="37" spans="3:19" ht="12.75">
      <c r="C37" s="20">
        <v>165</v>
      </c>
      <c r="D37" s="28">
        <f t="shared" si="5"/>
        <v>-15</v>
      </c>
      <c r="E37" s="28">
        <f t="shared" si="5"/>
        <v>-15</v>
      </c>
      <c r="F37" s="51">
        <f t="shared" si="5"/>
        <v>165</v>
      </c>
      <c r="G37" s="54">
        <f>COS(C37*PI()/180)/$A$15</f>
        <v>-0.7751196555096602</v>
      </c>
      <c r="H37" s="29">
        <f>COS(D37*PI()/180)/$A$15</f>
        <v>0.7751196555096603</v>
      </c>
      <c r="I37" s="29">
        <f>COS(E37*PI()/180)/$A$15</f>
        <v>0.7751196555096603</v>
      </c>
      <c r="J37" s="29">
        <f>COS(F37*PI()/180)/$A$15</f>
        <v>-0.7751196555096602</v>
      </c>
      <c r="K37" s="29">
        <f t="shared" si="1"/>
        <v>0</v>
      </c>
      <c r="L37" s="55">
        <f t="shared" si="2"/>
        <v>0</v>
      </c>
      <c r="M37" s="54">
        <f>$A$3/$A$6*COS(2*C37*PI()/180)/$A$15</f>
        <v>0.17373831778132812</v>
      </c>
      <c r="N37" s="29">
        <f>$A$3/$A$6*COS(2*D37*PI()/180)/$A$15</f>
        <v>0.1737383177813282</v>
      </c>
      <c r="O37" s="29">
        <f>$A$3/$A$6*COS(2*E37*PI()/180)/$A$15</f>
        <v>0.1737383177813282</v>
      </c>
      <c r="P37" s="29">
        <f>$A$3/$A$6*COS(2*F37*PI()/180)/$A$15</f>
        <v>0.17373831778132812</v>
      </c>
      <c r="Q37" s="29">
        <f t="shared" si="3"/>
        <v>0.6949532711253126</v>
      </c>
      <c r="R37" s="55">
        <f t="shared" si="4"/>
        <v>13571.515993991741</v>
      </c>
      <c r="S37" s="4"/>
    </row>
    <row r="38" spans="3:19" ht="12.75">
      <c r="C38" s="20">
        <v>170</v>
      </c>
      <c r="D38" s="28">
        <f aca="true" t="shared" si="6" ref="D38:F76">D$4+$C38</f>
        <v>-10</v>
      </c>
      <c r="E38" s="28">
        <f t="shared" si="6"/>
        <v>-10</v>
      </c>
      <c r="F38" s="51">
        <f t="shared" si="6"/>
        <v>170</v>
      </c>
      <c r="G38" s="54">
        <f>COS(C38*PI()/180)/$A$15</f>
        <v>-0.7902717014935916</v>
      </c>
      <c r="H38" s="29">
        <f>COS(D38*PI()/180)/$A$15</f>
        <v>0.7902717014935916</v>
      </c>
      <c r="I38" s="29">
        <f>COS(E38*PI()/180)/$A$15</f>
        <v>0.7902717014935916</v>
      </c>
      <c r="J38" s="29">
        <f>COS(F38*PI()/180)/$A$15</f>
        <v>-0.7902717014935916</v>
      </c>
      <c r="K38" s="29">
        <f t="shared" si="1"/>
        <v>0</v>
      </c>
      <c r="L38" s="55">
        <f t="shared" si="2"/>
        <v>0</v>
      </c>
      <c r="M38" s="54">
        <f>$A$3/$A$6*COS(2*C38*PI()/180)/$A$15</f>
        <v>0.18851712022931405</v>
      </c>
      <c r="N38" s="29">
        <f>$A$3/$A$6*COS(2*D38*PI()/180)/$A$15</f>
        <v>0.18851712022931405</v>
      </c>
      <c r="O38" s="29">
        <f>$A$3/$A$6*COS(2*E38*PI()/180)/$A$15</f>
        <v>0.18851712022931405</v>
      </c>
      <c r="P38" s="29">
        <f>$A$3/$A$6*COS(2*F38*PI()/180)/$A$15</f>
        <v>0.18851712022931405</v>
      </c>
      <c r="Q38" s="29">
        <f t="shared" si="3"/>
        <v>0.7540684809172562</v>
      </c>
      <c r="R38" s="55">
        <f t="shared" si="4"/>
        <v>14725.957664408563</v>
      </c>
      <c r="S38" s="4"/>
    </row>
    <row r="39" spans="3:19" ht="12.75">
      <c r="C39" s="20">
        <v>175</v>
      </c>
      <c r="D39" s="28">
        <f t="shared" si="6"/>
        <v>-5</v>
      </c>
      <c r="E39" s="28">
        <f t="shared" si="6"/>
        <v>-5</v>
      </c>
      <c r="F39" s="51">
        <f t="shared" si="6"/>
        <v>175</v>
      </c>
      <c r="G39" s="54">
        <f>COS(C39*PI()/180)/$A$15</f>
        <v>-0.7994093026500567</v>
      </c>
      <c r="H39" s="29">
        <f>COS(D39*PI()/180)/$A$15</f>
        <v>0.7994093026500567</v>
      </c>
      <c r="I39" s="29">
        <f>COS(E39*PI()/180)/$A$15</f>
        <v>0.7994093026500567</v>
      </c>
      <c r="J39" s="29">
        <f>COS(F39*PI()/180)/$A$15</f>
        <v>-0.7994093026500567</v>
      </c>
      <c r="K39" s="29">
        <f t="shared" si="1"/>
        <v>0</v>
      </c>
      <c r="L39" s="55">
        <f t="shared" si="2"/>
        <v>0</v>
      </c>
      <c r="M39" s="54">
        <f>$A$3/$A$6*COS(2*C39*PI()/180)/$A$15</f>
        <v>0.19756792537339787</v>
      </c>
      <c r="N39" s="29">
        <f>$A$3/$A$6*COS(2*D39*PI()/180)/$A$15</f>
        <v>0.1975679253733979</v>
      </c>
      <c r="O39" s="29">
        <f>$A$3/$A$6*COS(2*E39*PI()/180)/$A$15</f>
        <v>0.1975679253733979</v>
      </c>
      <c r="P39" s="29">
        <f>$A$3/$A$6*COS(2*F39*PI()/180)/$A$15</f>
        <v>0.19756792537339787</v>
      </c>
      <c r="Q39" s="29">
        <f t="shared" si="3"/>
        <v>0.7902717014935915</v>
      </c>
      <c r="R39" s="55">
        <f t="shared" si="4"/>
        <v>15432.958562886453</v>
      </c>
      <c r="S39" s="4"/>
    </row>
    <row r="40" spans="3:19" ht="12.75">
      <c r="C40" s="20">
        <v>180</v>
      </c>
      <c r="D40" s="28">
        <f t="shared" si="6"/>
        <v>0</v>
      </c>
      <c r="E40" s="28">
        <f t="shared" si="6"/>
        <v>0</v>
      </c>
      <c r="F40" s="51">
        <f t="shared" si="6"/>
        <v>180</v>
      </c>
      <c r="G40" s="54">
        <f>COS(C40*PI()/180)/$A$15</f>
        <v>-0.8024629163168205</v>
      </c>
      <c r="H40" s="29">
        <f>COS(D40*PI()/180)/$A$15</f>
        <v>0.8024629163168205</v>
      </c>
      <c r="I40" s="29">
        <f>COS(E40*PI()/180)/$A$15</f>
        <v>0.8024629163168205</v>
      </c>
      <c r="J40" s="29">
        <f>COS(F40*PI()/180)/$A$15</f>
        <v>-0.8024629163168205</v>
      </c>
      <c r="K40" s="29">
        <f t="shared" si="1"/>
        <v>0</v>
      </c>
      <c r="L40" s="55">
        <f t="shared" si="2"/>
        <v>0</v>
      </c>
      <c r="M40" s="54">
        <f>$A$3/$A$6*COS(2*C40*PI()/180)/$A$15</f>
        <v>0.20061572907920514</v>
      </c>
      <c r="N40" s="29">
        <f>$A$3/$A$6*COS(2*D40*PI()/180)/$A$15</f>
        <v>0.20061572907920514</v>
      </c>
      <c r="O40" s="29">
        <f>$A$3/$A$6*COS(2*E40*PI()/180)/$A$15</f>
        <v>0.20061572907920514</v>
      </c>
      <c r="P40" s="29">
        <f>$A$3/$A$6*COS(2*F40*PI()/180)/$A$15</f>
        <v>0.20061572907920514</v>
      </c>
      <c r="Q40" s="29">
        <f t="shared" si="3"/>
        <v>0.8024629163168205</v>
      </c>
      <c r="R40" s="55">
        <f t="shared" si="4"/>
        <v>15671.036824884888</v>
      </c>
      <c r="S40" s="4"/>
    </row>
    <row r="41" spans="3:19" ht="12.75">
      <c r="C41" s="20">
        <v>185</v>
      </c>
      <c r="D41" s="28">
        <f t="shared" si="6"/>
        <v>5</v>
      </c>
      <c r="E41" s="28">
        <f t="shared" si="6"/>
        <v>5</v>
      </c>
      <c r="F41" s="51">
        <f t="shared" si="6"/>
        <v>185</v>
      </c>
      <c r="G41" s="54">
        <f>COS(C41*PI()/180)/$A$15</f>
        <v>-0.7994093026500567</v>
      </c>
      <c r="H41" s="29">
        <f>COS(D41*PI()/180)/$A$15</f>
        <v>0.7994093026500567</v>
      </c>
      <c r="I41" s="29">
        <f>COS(E41*PI()/180)/$A$15</f>
        <v>0.7994093026500567</v>
      </c>
      <c r="J41" s="29">
        <f>COS(F41*PI()/180)/$A$15</f>
        <v>-0.7994093026500567</v>
      </c>
      <c r="K41" s="29">
        <f t="shared" si="1"/>
        <v>0</v>
      </c>
      <c r="L41" s="55">
        <f t="shared" si="2"/>
        <v>0</v>
      </c>
      <c r="M41" s="54">
        <f>$A$3/$A$6*COS(2*C41*PI()/180)/$A$15</f>
        <v>0.1975679253733979</v>
      </c>
      <c r="N41" s="29">
        <f>$A$3/$A$6*COS(2*D41*PI()/180)/$A$15</f>
        <v>0.1975679253733979</v>
      </c>
      <c r="O41" s="29">
        <f>$A$3/$A$6*COS(2*E41*PI()/180)/$A$15</f>
        <v>0.1975679253733979</v>
      </c>
      <c r="P41" s="29">
        <f>$A$3/$A$6*COS(2*F41*PI()/180)/$A$15</f>
        <v>0.1975679253733979</v>
      </c>
      <c r="Q41" s="29">
        <f t="shared" si="3"/>
        <v>0.7902717014935916</v>
      </c>
      <c r="R41" s="55">
        <f t="shared" si="4"/>
        <v>15432.958562886455</v>
      </c>
      <c r="S41" s="4"/>
    </row>
    <row r="42" spans="3:19" ht="12.75">
      <c r="C42" s="20">
        <v>190</v>
      </c>
      <c r="D42" s="28">
        <f t="shared" si="6"/>
        <v>10</v>
      </c>
      <c r="E42" s="28">
        <f t="shared" si="6"/>
        <v>10</v>
      </c>
      <c r="F42" s="51">
        <f t="shared" si="6"/>
        <v>190</v>
      </c>
      <c r="G42" s="54">
        <f>COS(C42*PI()/180)/$A$15</f>
        <v>-0.7902717014935916</v>
      </c>
      <c r="H42" s="29">
        <f>COS(D42*PI()/180)/$A$15</f>
        <v>0.7902717014935916</v>
      </c>
      <c r="I42" s="29">
        <f>COS(E42*PI()/180)/$A$15</f>
        <v>0.7902717014935916</v>
      </c>
      <c r="J42" s="29">
        <f>COS(F42*PI()/180)/$A$15</f>
        <v>-0.7902717014935916</v>
      </c>
      <c r="K42" s="29">
        <f t="shared" si="1"/>
        <v>0</v>
      </c>
      <c r="L42" s="55">
        <f t="shared" si="2"/>
        <v>0</v>
      </c>
      <c r="M42" s="54">
        <f>$A$3/$A$6*COS(2*C42*PI()/180)/$A$15</f>
        <v>0.18851712022931402</v>
      </c>
      <c r="N42" s="29">
        <f>$A$3/$A$6*COS(2*D42*PI()/180)/$A$15</f>
        <v>0.18851712022931405</v>
      </c>
      <c r="O42" s="29">
        <f>$A$3/$A$6*COS(2*E42*PI()/180)/$A$15</f>
        <v>0.18851712022931405</v>
      </c>
      <c r="P42" s="29">
        <f>$A$3/$A$6*COS(2*F42*PI()/180)/$A$15</f>
        <v>0.18851712022931402</v>
      </c>
      <c r="Q42" s="29">
        <f t="shared" si="3"/>
        <v>0.7540684809172561</v>
      </c>
      <c r="R42" s="55">
        <f t="shared" si="4"/>
        <v>14725.95766440856</v>
      </c>
      <c r="S42" s="4"/>
    </row>
    <row r="43" spans="3:19" ht="12.75">
      <c r="C43" s="20">
        <v>195</v>
      </c>
      <c r="D43" s="28">
        <f t="shared" si="6"/>
        <v>15</v>
      </c>
      <c r="E43" s="28">
        <f t="shared" si="6"/>
        <v>15</v>
      </c>
      <c r="F43" s="51">
        <f t="shared" si="6"/>
        <v>195</v>
      </c>
      <c r="G43" s="54">
        <f>COS(C43*PI()/180)/$A$15</f>
        <v>-0.7751196555096604</v>
      </c>
      <c r="H43" s="29">
        <f>COS(D43*PI()/180)/$A$15</f>
        <v>0.7751196555096603</v>
      </c>
      <c r="I43" s="29">
        <f>COS(E43*PI()/180)/$A$15</f>
        <v>0.7751196555096603</v>
      </c>
      <c r="J43" s="29">
        <f>COS(F43*PI()/180)/$A$15</f>
        <v>-0.7751196555096604</v>
      </c>
      <c r="K43" s="29">
        <f t="shared" si="1"/>
        <v>0</v>
      </c>
      <c r="L43" s="55">
        <f t="shared" si="2"/>
        <v>0</v>
      </c>
      <c r="M43" s="54">
        <f>$A$3/$A$6*COS(2*C43*PI()/180)/$A$15</f>
        <v>0.17373831778132826</v>
      </c>
      <c r="N43" s="29">
        <f>$A$3/$A$6*COS(2*D43*PI()/180)/$A$15</f>
        <v>0.1737383177813282</v>
      </c>
      <c r="O43" s="29">
        <f>$A$3/$A$6*COS(2*E43*PI()/180)/$A$15</f>
        <v>0.1737383177813282</v>
      </c>
      <c r="P43" s="29">
        <f>$A$3/$A$6*COS(2*F43*PI()/180)/$A$15</f>
        <v>0.17373831778132826</v>
      </c>
      <c r="Q43" s="29">
        <f t="shared" si="3"/>
        <v>0.694953271125313</v>
      </c>
      <c r="R43" s="55">
        <f t="shared" si="4"/>
        <v>13571.515993991748</v>
      </c>
      <c r="S43" s="4"/>
    </row>
    <row r="44" spans="3:19" ht="12.75">
      <c r="C44" s="20">
        <v>200</v>
      </c>
      <c r="D44" s="28">
        <f t="shared" si="6"/>
        <v>20</v>
      </c>
      <c r="E44" s="28">
        <f t="shared" si="6"/>
        <v>20</v>
      </c>
      <c r="F44" s="51">
        <f t="shared" si="6"/>
        <v>200</v>
      </c>
      <c r="G44" s="54">
        <f>COS(C44*PI()/180)/$A$15</f>
        <v>-0.7540684809172562</v>
      </c>
      <c r="H44" s="29">
        <f>COS(D44*PI()/180)/$A$15</f>
        <v>0.7540684809172562</v>
      </c>
      <c r="I44" s="29">
        <f>COS(E44*PI()/180)/$A$15</f>
        <v>0.7540684809172562</v>
      </c>
      <c r="J44" s="29">
        <f>COS(F44*PI()/180)/$A$15</f>
        <v>-0.7540684809172562</v>
      </c>
      <c r="K44" s="29">
        <f t="shared" si="1"/>
        <v>0</v>
      </c>
      <c r="L44" s="55">
        <f t="shared" si="2"/>
        <v>0</v>
      </c>
      <c r="M44" s="54">
        <f>$A$3/$A$6*COS(2*C44*PI()/180)/$A$15</f>
        <v>0.1536805644633875</v>
      </c>
      <c r="N44" s="29">
        <f>$A$3/$A$6*COS(2*D44*PI()/180)/$A$15</f>
        <v>0.15368056446338746</v>
      </c>
      <c r="O44" s="29">
        <f>$A$3/$A$6*COS(2*E44*PI()/180)/$A$15</f>
        <v>0.15368056446338746</v>
      </c>
      <c r="P44" s="29">
        <f>$A$3/$A$6*COS(2*F44*PI()/180)/$A$15</f>
        <v>0.1536805644633875</v>
      </c>
      <c r="Q44" s="29">
        <f t="shared" si="3"/>
        <v>0.6147222578535498</v>
      </c>
      <c r="R44" s="55">
        <f t="shared" si="4"/>
        <v>12004.710677615942</v>
      </c>
      <c r="S44" s="4"/>
    </row>
    <row r="45" spans="3:19" ht="12.75">
      <c r="C45" s="20">
        <v>205</v>
      </c>
      <c r="D45" s="28">
        <f t="shared" si="6"/>
        <v>25</v>
      </c>
      <c r="E45" s="28">
        <f t="shared" si="6"/>
        <v>25</v>
      </c>
      <c r="F45" s="51">
        <f t="shared" si="6"/>
        <v>205</v>
      </c>
      <c r="G45" s="54">
        <f>COS(C45*PI()/180)/$A$15</f>
        <v>-0.7272783898660741</v>
      </c>
      <c r="H45" s="29">
        <f>COS(D45*PI()/180)/$A$15</f>
        <v>0.7272783898660741</v>
      </c>
      <c r="I45" s="29">
        <f>COS(E45*PI()/180)/$A$15</f>
        <v>0.7272783898660741</v>
      </c>
      <c r="J45" s="29">
        <f>COS(F45*PI()/180)/$A$15</f>
        <v>-0.7272783898660741</v>
      </c>
      <c r="K45" s="29">
        <f t="shared" si="1"/>
        <v>0</v>
      </c>
      <c r="L45" s="55">
        <f t="shared" si="2"/>
        <v>0</v>
      </c>
      <c r="M45" s="54">
        <f>$A$3/$A$6*COS(2*C45*PI()/180)/$A$15</f>
        <v>0.12895330496034468</v>
      </c>
      <c r="N45" s="29">
        <f>$A$3/$A$6*COS(2*D45*PI()/180)/$A$15</f>
        <v>0.12895330496034463</v>
      </c>
      <c r="O45" s="29">
        <f>$A$3/$A$6*COS(2*E45*PI()/180)/$A$15</f>
        <v>0.12895330496034463</v>
      </c>
      <c r="P45" s="29">
        <f>$A$3/$A$6*COS(2*F45*PI()/180)/$A$15</f>
        <v>0.12895330496034468</v>
      </c>
      <c r="Q45" s="29">
        <f t="shared" si="3"/>
        <v>0.5158132198413786</v>
      </c>
      <c r="R45" s="55">
        <f t="shared" si="4"/>
        <v>10073.148301977495</v>
      </c>
      <c r="S45" s="4"/>
    </row>
    <row r="46" spans="3:19" ht="12.75">
      <c r="C46" s="20">
        <v>210</v>
      </c>
      <c r="D46" s="28">
        <f t="shared" si="6"/>
        <v>30</v>
      </c>
      <c r="E46" s="28">
        <f t="shared" si="6"/>
        <v>30</v>
      </c>
      <c r="F46" s="51">
        <f t="shared" si="6"/>
        <v>210</v>
      </c>
      <c r="G46" s="54">
        <f>COS(C46*PI()/180)/$A$15</f>
        <v>-0.6949532711253127</v>
      </c>
      <c r="H46" s="29">
        <f>COS(D46*PI()/180)/$A$15</f>
        <v>0.6949532711253128</v>
      </c>
      <c r="I46" s="29">
        <f>COS(E46*PI()/180)/$A$15</f>
        <v>0.6949532711253128</v>
      </c>
      <c r="J46" s="29">
        <f>COS(F46*PI()/180)/$A$15</f>
        <v>-0.6949532711253127</v>
      </c>
      <c r="K46" s="29">
        <f t="shared" si="1"/>
        <v>0</v>
      </c>
      <c r="L46" s="55">
        <f t="shared" si="2"/>
        <v>0</v>
      </c>
      <c r="M46" s="54">
        <f>$A$3/$A$6*COS(2*C46*PI()/180)/$A$15</f>
        <v>0.10030786453960251</v>
      </c>
      <c r="N46" s="29">
        <f>$A$3/$A$6*COS(2*D46*PI()/180)/$A$15</f>
        <v>0.1003078645396026</v>
      </c>
      <c r="O46" s="29">
        <f>$A$3/$A$6*COS(2*E46*PI()/180)/$A$15</f>
        <v>0.1003078645396026</v>
      </c>
      <c r="P46" s="29">
        <f>$A$3/$A$6*COS(2*F46*PI()/180)/$A$15</f>
        <v>0.10030786453960251</v>
      </c>
      <c r="Q46" s="29">
        <f t="shared" si="3"/>
        <v>0.4012314581584102</v>
      </c>
      <c r="R46" s="55">
        <f t="shared" si="4"/>
        <v>7835.518412442443</v>
      </c>
      <c r="S46" s="4"/>
    </row>
    <row r="47" spans="3:19" ht="12.75">
      <c r="C47" s="20">
        <v>215</v>
      </c>
      <c r="D47" s="28">
        <f t="shared" si="6"/>
        <v>35</v>
      </c>
      <c r="E47" s="28">
        <f t="shared" si="6"/>
        <v>35</v>
      </c>
      <c r="F47" s="51">
        <f t="shared" si="6"/>
        <v>215</v>
      </c>
      <c r="G47" s="54">
        <f>COS(C47*PI()/180)/$A$15</f>
        <v>-0.6573391383670298</v>
      </c>
      <c r="H47" s="29">
        <f>COS(D47*PI()/180)/$A$15</f>
        <v>0.6573391383670297</v>
      </c>
      <c r="I47" s="29">
        <f>COS(E47*PI()/180)/$A$15</f>
        <v>0.6573391383670297</v>
      </c>
      <c r="J47" s="29">
        <f>COS(F47*PI()/180)/$A$15</f>
        <v>-0.6573391383670298</v>
      </c>
      <c r="K47" s="29">
        <f t="shared" si="1"/>
        <v>0</v>
      </c>
      <c r="L47" s="55">
        <f t="shared" si="2"/>
        <v>0</v>
      </c>
      <c r="M47" s="54">
        <f>$A$3/$A$6*COS(2*C47*PI()/180)/$A$15</f>
        <v>0.06861462041305343</v>
      </c>
      <c r="N47" s="29">
        <f>$A$3/$A$6*COS(2*D47*PI()/180)/$A$15</f>
        <v>0.06861462041305329</v>
      </c>
      <c r="O47" s="29">
        <f>$A$3/$A$6*COS(2*E47*PI()/180)/$A$15</f>
        <v>0.06861462041305329</v>
      </c>
      <c r="P47" s="29">
        <f>$A$3/$A$6*COS(2*F47*PI()/180)/$A$15</f>
        <v>0.06861462041305343</v>
      </c>
      <c r="Q47" s="29">
        <f t="shared" si="3"/>
        <v>0.2744584816522134</v>
      </c>
      <c r="R47" s="55">
        <f t="shared" si="4"/>
        <v>5359.810260908969</v>
      </c>
      <c r="S47" s="4"/>
    </row>
    <row r="48" spans="3:19" ht="12.75">
      <c r="C48" s="20">
        <v>220</v>
      </c>
      <c r="D48" s="28">
        <f t="shared" si="6"/>
        <v>40</v>
      </c>
      <c r="E48" s="28">
        <f t="shared" si="6"/>
        <v>40</v>
      </c>
      <c r="F48" s="51">
        <f t="shared" si="6"/>
        <v>220</v>
      </c>
      <c r="G48" s="54">
        <f>COS(C48*PI()/180)/$A$15</f>
        <v>-0.6147222578535498</v>
      </c>
      <c r="H48" s="29">
        <f>COS(D48*PI()/180)/$A$15</f>
        <v>0.6147222578535498</v>
      </c>
      <c r="I48" s="29">
        <f>COS(E48*PI()/180)/$A$15</f>
        <v>0.6147222578535498</v>
      </c>
      <c r="J48" s="29">
        <f>COS(F48*PI()/180)/$A$15</f>
        <v>-0.6147222578535498</v>
      </c>
      <c r="K48" s="29">
        <f t="shared" si="1"/>
        <v>0</v>
      </c>
      <c r="L48" s="55">
        <f t="shared" si="2"/>
        <v>0</v>
      </c>
      <c r="M48" s="54">
        <f>$A$3/$A$6*COS(2*C48*PI()/180)/$A$15</f>
        <v>0.0348365557659266</v>
      </c>
      <c r="N48" s="29">
        <f>$A$3/$A$6*COS(2*D48*PI()/180)/$A$15</f>
        <v>0.03483655576592659</v>
      </c>
      <c r="O48" s="29">
        <f>$A$3/$A$6*COS(2*E48*PI()/180)/$A$15</f>
        <v>0.03483655576592659</v>
      </c>
      <c r="P48" s="29">
        <f>$A$3/$A$6*COS(2*F48*PI()/180)/$A$15</f>
        <v>0.0348365557659266</v>
      </c>
      <c r="Q48" s="29">
        <f t="shared" si="3"/>
        <v>0.13934622306370636</v>
      </c>
      <c r="R48" s="55">
        <f t="shared" si="4"/>
        <v>2721.24698679262</v>
      </c>
      <c r="S48" s="4"/>
    </row>
    <row r="49" spans="3:19" ht="12.75">
      <c r="C49" s="20">
        <v>225</v>
      </c>
      <c r="D49" s="28">
        <f t="shared" si="6"/>
        <v>45</v>
      </c>
      <c r="E49" s="28">
        <f t="shared" si="6"/>
        <v>45</v>
      </c>
      <c r="F49" s="51">
        <f t="shared" si="6"/>
        <v>225</v>
      </c>
      <c r="G49" s="54">
        <f>COS(C49*PI()/180)/$A$15</f>
        <v>-0.5674269697783569</v>
      </c>
      <c r="H49" s="29">
        <f>COS(D49*PI()/180)/$A$15</f>
        <v>0.5674269697783568</v>
      </c>
      <c r="I49" s="29">
        <f>COS(E49*PI()/180)/$A$15</f>
        <v>0.5674269697783568</v>
      </c>
      <c r="J49" s="29">
        <f>COS(F49*PI()/180)/$A$15</f>
        <v>-0.5674269697783569</v>
      </c>
      <c r="K49" s="29">
        <f t="shared" si="1"/>
        <v>0</v>
      </c>
      <c r="L49" s="55">
        <f t="shared" si="2"/>
        <v>0</v>
      </c>
      <c r="M49" s="54">
        <f>$A$3/$A$6*COS(2*C49*PI()/180)/$A$15</f>
        <v>6.144601262793862E-17</v>
      </c>
      <c r="N49" s="29">
        <f>$A$3/$A$6*COS(2*D49*PI()/180)/$A$15</f>
        <v>1.2289202525587724E-17</v>
      </c>
      <c r="O49" s="29">
        <f>$A$3/$A$6*COS(2*E49*PI()/180)/$A$15</f>
        <v>1.2289202525587724E-17</v>
      </c>
      <c r="P49" s="29">
        <f>$A$3/$A$6*COS(2*F49*PI()/180)/$A$15</f>
        <v>6.144601262793862E-17</v>
      </c>
      <c r="Q49" s="29">
        <f t="shared" si="3"/>
        <v>1.4747043030705267E-16</v>
      </c>
      <c r="R49" s="55">
        <f t="shared" si="4"/>
        <v>2.879901982923571E-12</v>
      </c>
      <c r="S49" s="4"/>
    </row>
    <row r="50" spans="3:19" ht="12.75">
      <c r="C50" s="20">
        <v>230</v>
      </c>
      <c r="D50" s="28">
        <f t="shared" si="6"/>
        <v>50</v>
      </c>
      <c r="E50" s="28">
        <f t="shared" si="6"/>
        <v>50</v>
      </c>
      <c r="F50" s="51">
        <f t="shared" si="6"/>
        <v>230</v>
      </c>
      <c r="G50" s="54">
        <f>COS(C50*PI()/180)/$A$15</f>
        <v>-0.5158132198413786</v>
      </c>
      <c r="H50" s="29">
        <f>COS(D50*PI()/180)/$A$15</f>
        <v>0.5158132198413785</v>
      </c>
      <c r="I50" s="29">
        <f>COS(E50*PI()/180)/$A$15</f>
        <v>0.5158132198413785</v>
      </c>
      <c r="J50" s="29">
        <f>COS(F50*PI()/180)/$A$15</f>
        <v>-0.5158132198413786</v>
      </c>
      <c r="K50" s="29">
        <f t="shared" si="1"/>
        <v>0</v>
      </c>
      <c r="L50" s="55">
        <f t="shared" si="2"/>
        <v>0</v>
      </c>
      <c r="M50" s="54">
        <f>$A$3/$A$6*COS(2*C50*PI()/180)/$A$15</f>
        <v>-0.03483655576592648</v>
      </c>
      <c r="N50" s="29">
        <f>$A$3/$A$6*COS(2*D50*PI()/180)/$A$15</f>
        <v>-0.03483655576592657</v>
      </c>
      <c r="O50" s="29">
        <f>$A$3/$A$6*COS(2*E50*PI()/180)/$A$15</f>
        <v>-0.03483655576592657</v>
      </c>
      <c r="P50" s="29">
        <f>$A$3/$A$6*COS(2*F50*PI()/180)/$A$15</f>
        <v>-0.03483655576592648</v>
      </c>
      <c r="Q50" s="29">
        <f t="shared" si="3"/>
        <v>-0.1393462230637061</v>
      </c>
      <c r="R50" s="55">
        <f t="shared" si="4"/>
        <v>-2721.2469867926147</v>
      </c>
      <c r="S50" s="4"/>
    </row>
    <row r="51" spans="3:19" ht="12.75">
      <c r="C51" s="20">
        <v>235</v>
      </c>
      <c r="D51" s="28">
        <f t="shared" si="6"/>
        <v>55</v>
      </c>
      <c r="E51" s="28">
        <f t="shared" si="6"/>
        <v>55</v>
      </c>
      <c r="F51" s="51">
        <f t="shared" si="6"/>
        <v>235</v>
      </c>
      <c r="G51" s="54">
        <f>COS(C51*PI()/180)/$A$15</f>
        <v>-0.46027381984486987</v>
      </c>
      <c r="H51" s="29">
        <f>COS(D51*PI()/180)/$A$15</f>
        <v>0.4602738198448697</v>
      </c>
      <c r="I51" s="29">
        <f>COS(E51*PI()/180)/$A$15</f>
        <v>0.4602738198448697</v>
      </c>
      <c r="J51" s="29">
        <f>COS(F51*PI()/180)/$A$15</f>
        <v>-0.46027381984486987</v>
      </c>
      <c r="K51" s="29">
        <f t="shared" si="1"/>
        <v>0</v>
      </c>
      <c r="L51" s="55">
        <f t="shared" si="2"/>
        <v>0</v>
      </c>
      <c r="M51" s="54">
        <f>$A$3/$A$6*COS(2*C51*PI()/180)/$A$15</f>
        <v>-0.06861462041305313</v>
      </c>
      <c r="N51" s="29">
        <f>$A$3/$A$6*COS(2*D51*PI()/180)/$A$15</f>
        <v>-0.06861462041305326</v>
      </c>
      <c r="O51" s="29">
        <f>$A$3/$A$6*COS(2*E51*PI()/180)/$A$15</f>
        <v>-0.06861462041305326</v>
      </c>
      <c r="P51" s="29">
        <f>$A$3/$A$6*COS(2*F51*PI()/180)/$A$15</f>
        <v>-0.06861462041305313</v>
      </c>
      <c r="Q51" s="29">
        <f t="shared" si="3"/>
        <v>-0.27445848165221276</v>
      </c>
      <c r="R51" s="55">
        <f t="shared" si="4"/>
        <v>-5359.8102609089565</v>
      </c>
      <c r="S51" s="4"/>
    </row>
    <row r="52" spans="3:19" ht="12.75">
      <c r="C52" s="20">
        <v>240</v>
      </c>
      <c r="D52" s="28">
        <f t="shared" si="6"/>
        <v>60</v>
      </c>
      <c r="E52" s="28">
        <f t="shared" si="6"/>
        <v>60</v>
      </c>
      <c r="F52" s="51">
        <f t="shared" si="6"/>
        <v>240</v>
      </c>
      <c r="G52" s="54">
        <f>COS(C52*PI()/180)/$A$15</f>
        <v>-0.4012314581584106</v>
      </c>
      <c r="H52" s="29">
        <f>COS(D52*PI()/180)/$A$15</f>
        <v>0.4012314581584104</v>
      </c>
      <c r="I52" s="29">
        <f>COS(E52*PI()/180)/$A$15</f>
        <v>0.4012314581584104</v>
      </c>
      <c r="J52" s="29">
        <f>COS(F52*PI()/180)/$A$15</f>
        <v>-0.4012314581584106</v>
      </c>
      <c r="K52" s="29">
        <f t="shared" si="1"/>
        <v>-4.440892098500626E-16</v>
      </c>
      <c r="L52" s="55">
        <f t="shared" si="2"/>
        <v>-8.672473480814092E-12</v>
      </c>
      <c r="M52" s="54">
        <f>$A$3/$A$6*COS(2*C52*PI()/180)/$A$15</f>
        <v>-0.10030786453960241</v>
      </c>
      <c r="N52" s="29">
        <f>$A$3/$A$6*COS(2*D52*PI()/180)/$A$15</f>
        <v>-0.10030786453960253</v>
      </c>
      <c r="O52" s="29">
        <f>$A$3/$A$6*COS(2*E52*PI()/180)/$A$15</f>
        <v>-0.10030786453960253</v>
      </c>
      <c r="P52" s="29">
        <f>$A$3/$A$6*COS(2*F52*PI()/180)/$A$15</f>
        <v>-0.10030786453960241</v>
      </c>
      <c r="Q52" s="29">
        <f t="shared" si="3"/>
        <v>-0.4012314581584099</v>
      </c>
      <c r="R52" s="55">
        <f t="shared" si="4"/>
        <v>-7835.518412442437</v>
      </c>
      <c r="S52" s="4"/>
    </row>
    <row r="53" spans="3:19" ht="12.75">
      <c r="C53" s="20">
        <v>245</v>
      </c>
      <c r="D53" s="28">
        <f t="shared" si="6"/>
        <v>65</v>
      </c>
      <c r="E53" s="28">
        <f t="shared" si="6"/>
        <v>65</v>
      </c>
      <c r="F53" s="51">
        <f t="shared" si="6"/>
        <v>245</v>
      </c>
      <c r="G53" s="54">
        <f>COS(C53*PI()/180)/$A$15</f>
        <v>-0.33913548280518746</v>
      </c>
      <c r="H53" s="29">
        <f>COS(D53*PI()/180)/$A$15</f>
        <v>0.33913548280518707</v>
      </c>
      <c r="I53" s="29">
        <f>COS(E53*PI()/180)/$A$15</f>
        <v>0.33913548280518707</v>
      </c>
      <c r="J53" s="29">
        <f>COS(F53*PI()/180)/$A$15</f>
        <v>-0.33913548280518746</v>
      </c>
      <c r="K53" s="29">
        <f t="shared" si="1"/>
        <v>-7.771561172376096E-16</v>
      </c>
      <c r="L53" s="55">
        <f t="shared" si="2"/>
        <v>-1.517682859142466E-11</v>
      </c>
      <c r="M53" s="54">
        <f>$A$3/$A$6*COS(2*C53*PI()/180)/$A$15</f>
        <v>-0.12895330496034446</v>
      </c>
      <c r="N53" s="29">
        <f>$A$3/$A$6*COS(2*D53*PI()/180)/$A$15</f>
        <v>-0.12895330496034463</v>
      </c>
      <c r="O53" s="29">
        <f>$A$3/$A$6*COS(2*E53*PI()/180)/$A$15</f>
        <v>-0.12895330496034463</v>
      </c>
      <c r="P53" s="29">
        <f>$A$3/$A$6*COS(2*F53*PI()/180)/$A$15</f>
        <v>-0.12895330496034446</v>
      </c>
      <c r="Q53" s="29">
        <f t="shared" si="3"/>
        <v>-0.5158132198413782</v>
      </c>
      <c r="R53" s="55">
        <f t="shared" si="4"/>
        <v>-10073.148301977486</v>
      </c>
      <c r="S53" s="4"/>
    </row>
    <row r="54" spans="3:19" ht="12.75">
      <c r="C54" s="20">
        <v>250</v>
      </c>
      <c r="D54" s="28">
        <f t="shared" si="6"/>
        <v>70</v>
      </c>
      <c r="E54" s="28">
        <f t="shared" si="6"/>
        <v>70</v>
      </c>
      <c r="F54" s="51">
        <f t="shared" si="6"/>
        <v>250</v>
      </c>
      <c r="G54" s="54">
        <f>COS(C54*PI()/180)/$A$15</f>
        <v>-0.2744584816522136</v>
      </c>
      <c r="H54" s="29">
        <f>COS(D54*PI()/180)/$A$15</f>
        <v>0.27445848165221315</v>
      </c>
      <c r="I54" s="29">
        <f>COS(E54*PI()/180)/$A$15</f>
        <v>0.27445848165221315</v>
      </c>
      <c r="J54" s="29">
        <f>COS(F54*PI()/180)/$A$15</f>
        <v>-0.2744584816522136</v>
      </c>
      <c r="K54" s="29">
        <f t="shared" si="1"/>
        <v>-8.881784197001252E-16</v>
      </c>
      <c r="L54" s="55">
        <f t="shared" si="2"/>
        <v>-1.7344946961628185E-11</v>
      </c>
      <c r="M54" s="54">
        <f>$A$3/$A$6*COS(2*C54*PI()/180)/$A$15</f>
        <v>-0.1536805644633873</v>
      </c>
      <c r="N54" s="29">
        <f>$A$3/$A$6*COS(2*D54*PI()/180)/$A$15</f>
        <v>-0.15368056446338743</v>
      </c>
      <c r="O54" s="29">
        <f>$A$3/$A$6*COS(2*E54*PI()/180)/$A$15</f>
        <v>-0.15368056446338743</v>
      </c>
      <c r="P54" s="29">
        <f>$A$3/$A$6*COS(2*F54*PI()/180)/$A$15</f>
        <v>-0.1536805644633873</v>
      </c>
      <c r="Q54" s="29">
        <f t="shared" si="3"/>
        <v>-0.6147222578535494</v>
      </c>
      <c r="R54" s="55">
        <f t="shared" si="4"/>
        <v>-12004.710677615933</v>
      </c>
      <c r="S54" s="4"/>
    </row>
    <row r="55" spans="3:19" ht="12.75">
      <c r="C55" s="20">
        <v>255</v>
      </c>
      <c r="D55" s="28">
        <f t="shared" si="6"/>
        <v>75</v>
      </c>
      <c r="E55" s="28">
        <f t="shared" si="6"/>
        <v>75</v>
      </c>
      <c r="F55" s="51">
        <f t="shared" si="6"/>
        <v>255</v>
      </c>
      <c r="G55" s="54">
        <f>COS(C55*PI()/180)/$A$15</f>
        <v>-0.20769268573130342</v>
      </c>
      <c r="H55" s="29">
        <f>COS(D55*PI()/180)/$A$15</f>
        <v>0.2076926857313035</v>
      </c>
      <c r="I55" s="29">
        <f>COS(E55*PI()/180)/$A$15</f>
        <v>0.2076926857313035</v>
      </c>
      <c r="J55" s="29">
        <f>COS(F55*PI()/180)/$A$15</f>
        <v>-0.20769268573130342</v>
      </c>
      <c r="K55" s="29">
        <f t="shared" si="1"/>
        <v>0</v>
      </c>
      <c r="L55" s="55">
        <f t="shared" si="2"/>
        <v>0</v>
      </c>
      <c r="M55" s="54">
        <f>$A$3/$A$6*COS(2*C55*PI()/180)/$A$15</f>
        <v>-0.1737383177813282</v>
      </c>
      <c r="N55" s="29">
        <f>$A$3/$A$6*COS(2*D55*PI()/180)/$A$15</f>
        <v>-0.1737383177813282</v>
      </c>
      <c r="O55" s="29">
        <f>$A$3/$A$6*COS(2*E55*PI()/180)/$A$15</f>
        <v>-0.1737383177813282</v>
      </c>
      <c r="P55" s="29">
        <f>$A$3/$A$6*COS(2*F55*PI()/180)/$A$15</f>
        <v>-0.1737383177813282</v>
      </c>
      <c r="Q55" s="29">
        <f t="shared" si="3"/>
        <v>-0.6949532711253128</v>
      </c>
      <c r="R55" s="55">
        <f t="shared" si="4"/>
        <v>-13571.515993991745</v>
      </c>
      <c r="S55" s="4"/>
    </row>
    <row r="56" spans="3:19" ht="12.75">
      <c r="C56" s="20">
        <v>260</v>
      </c>
      <c r="D56" s="28">
        <f t="shared" si="6"/>
        <v>80</v>
      </c>
      <c r="E56" s="28">
        <f t="shared" si="6"/>
        <v>80</v>
      </c>
      <c r="F56" s="51">
        <f t="shared" si="6"/>
        <v>260</v>
      </c>
      <c r="G56" s="54">
        <f>COS(C56*PI()/180)/$A$15</f>
        <v>-0.1393462230637063</v>
      </c>
      <c r="H56" s="29">
        <f>COS(D56*PI()/180)/$A$15</f>
        <v>0.13934622306370636</v>
      </c>
      <c r="I56" s="29">
        <f>COS(E56*PI()/180)/$A$15</f>
        <v>0.13934622306370636</v>
      </c>
      <c r="J56" s="29">
        <f>COS(F56*PI()/180)/$A$15</f>
        <v>-0.1393462230637063</v>
      </c>
      <c r="K56" s="29">
        <f t="shared" si="1"/>
        <v>0</v>
      </c>
      <c r="L56" s="55">
        <f t="shared" si="2"/>
        <v>0</v>
      </c>
      <c r="M56" s="54">
        <f>$A$3/$A$6*COS(2*C56*PI()/180)/$A$15</f>
        <v>-0.18851712022931405</v>
      </c>
      <c r="N56" s="29">
        <f>$A$3/$A$6*COS(2*D56*PI()/180)/$A$15</f>
        <v>-0.18851712022931402</v>
      </c>
      <c r="O56" s="29">
        <f>$A$3/$A$6*COS(2*E56*PI()/180)/$A$15</f>
        <v>-0.18851712022931402</v>
      </c>
      <c r="P56" s="29">
        <f>$A$3/$A$6*COS(2*F56*PI()/180)/$A$15</f>
        <v>-0.18851712022931405</v>
      </c>
      <c r="Q56" s="29">
        <f t="shared" si="3"/>
        <v>-0.7540684809172562</v>
      </c>
      <c r="R56" s="55">
        <f t="shared" si="4"/>
        <v>-14725.957664408563</v>
      </c>
      <c r="S56" s="4"/>
    </row>
    <row r="57" spans="3:19" ht="12.75">
      <c r="C57" s="20">
        <v>265</v>
      </c>
      <c r="D57" s="28">
        <f t="shared" si="6"/>
        <v>85</v>
      </c>
      <c r="E57" s="28">
        <f t="shared" si="6"/>
        <v>85</v>
      </c>
      <c r="F57" s="51">
        <f t="shared" si="6"/>
        <v>265</v>
      </c>
      <c r="G57" s="54">
        <f>COS(C57*PI()/180)/$A$15</f>
        <v>-0.06993925149904442</v>
      </c>
      <c r="H57" s="29">
        <f>COS(D57*PI()/180)/$A$15</f>
        <v>0.06993925149904433</v>
      </c>
      <c r="I57" s="29">
        <f>COS(E57*PI()/180)/$A$15</f>
        <v>0.06993925149904433</v>
      </c>
      <c r="J57" s="29">
        <f>COS(F57*PI()/180)/$A$15</f>
        <v>-0.06993925149904442</v>
      </c>
      <c r="K57" s="29">
        <f t="shared" si="1"/>
        <v>-1.942890293094024E-16</v>
      </c>
      <c r="L57" s="55">
        <f t="shared" si="2"/>
        <v>-3.794207147856165E-12</v>
      </c>
      <c r="M57" s="54">
        <f>$A$3/$A$6*COS(2*C57*PI()/180)/$A$15</f>
        <v>-0.1975679253733979</v>
      </c>
      <c r="N57" s="29">
        <f>$A$3/$A$6*COS(2*D57*PI()/180)/$A$15</f>
        <v>-0.1975679253733979</v>
      </c>
      <c r="O57" s="29">
        <f>$A$3/$A$6*COS(2*E57*PI()/180)/$A$15</f>
        <v>-0.1975679253733979</v>
      </c>
      <c r="P57" s="29">
        <f>$A$3/$A$6*COS(2*F57*PI()/180)/$A$15</f>
        <v>-0.1975679253733979</v>
      </c>
      <c r="Q57" s="29">
        <f t="shared" si="3"/>
        <v>-0.7902717014935916</v>
      </c>
      <c r="R57" s="55">
        <f t="shared" si="4"/>
        <v>-15432.958562886455</v>
      </c>
      <c r="S57" s="4"/>
    </row>
    <row r="58" spans="3:19" ht="12.75">
      <c r="C58" s="20">
        <v>270</v>
      </c>
      <c r="D58" s="28">
        <f t="shared" si="6"/>
        <v>90</v>
      </c>
      <c r="E58" s="28">
        <f t="shared" si="6"/>
        <v>90</v>
      </c>
      <c r="F58" s="51">
        <f t="shared" si="6"/>
        <v>270</v>
      </c>
      <c r="G58" s="54">
        <f>COS(C58*PI()/180)/$A$15</f>
        <v>-1.474704303070527E-16</v>
      </c>
      <c r="H58" s="29">
        <f>COS(D58*PI()/180)/$A$15</f>
        <v>4.9156810102350895E-17</v>
      </c>
      <c r="I58" s="29">
        <f>COS(E58*PI()/180)/$A$15</f>
        <v>4.9156810102350895E-17</v>
      </c>
      <c r="J58" s="29">
        <f>COS(F58*PI()/180)/$A$15</f>
        <v>-1.474704303070527E-16</v>
      </c>
      <c r="K58" s="29">
        <f t="shared" si="1"/>
        <v>-1.966272404094036E-16</v>
      </c>
      <c r="L58" s="55">
        <f t="shared" si="2"/>
        <v>-3.8398693105647616E-12</v>
      </c>
      <c r="M58" s="54">
        <f>$A$3/$A$6*COS(2*C58*PI()/180)/$A$15</f>
        <v>-0.20061572907920514</v>
      </c>
      <c r="N58" s="29">
        <f>$A$3/$A$6*COS(2*D58*PI()/180)/$A$15</f>
        <v>-0.20061572907920514</v>
      </c>
      <c r="O58" s="29">
        <f>$A$3/$A$6*COS(2*E58*PI()/180)/$A$15</f>
        <v>-0.20061572907920514</v>
      </c>
      <c r="P58" s="29">
        <f>$A$3/$A$6*COS(2*F58*PI()/180)/$A$15</f>
        <v>-0.20061572907920514</v>
      </c>
      <c r="Q58" s="29">
        <f t="shared" si="3"/>
        <v>-0.8024629163168205</v>
      </c>
      <c r="R58" s="55">
        <f t="shared" si="4"/>
        <v>-15671.036824884888</v>
      </c>
      <c r="S58" s="4"/>
    </row>
    <row r="59" spans="3:19" ht="12.75">
      <c r="C59" s="20">
        <v>275</v>
      </c>
      <c r="D59" s="28">
        <f t="shared" si="6"/>
        <v>95</v>
      </c>
      <c r="E59" s="28">
        <f t="shared" si="6"/>
        <v>95</v>
      </c>
      <c r="F59" s="51">
        <f t="shared" si="6"/>
        <v>275</v>
      </c>
      <c r="G59" s="54">
        <f>COS(C59*PI()/180)/$A$15</f>
        <v>0.06993925149904413</v>
      </c>
      <c r="H59" s="29">
        <f>COS(D59*PI()/180)/$A$15</f>
        <v>-0.06993925149904441</v>
      </c>
      <c r="I59" s="29">
        <f>COS(E59*PI()/180)/$A$15</f>
        <v>-0.06993925149904441</v>
      </c>
      <c r="J59" s="29">
        <f>COS(F59*PI()/180)/$A$15</f>
        <v>0.06993925149904413</v>
      </c>
      <c r="K59" s="29">
        <f t="shared" si="1"/>
        <v>-5.551115123125783E-16</v>
      </c>
      <c r="L59" s="55">
        <f t="shared" si="2"/>
        <v>-1.0840591851017615E-11</v>
      </c>
      <c r="M59" s="54">
        <f>$A$3/$A$6*COS(2*C59*PI()/180)/$A$15</f>
        <v>-0.1975679253733979</v>
      </c>
      <c r="N59" s="29">
        <f>$A$3/$A$6*COS(2*D59*PI()/180)/$A$15</f>
        <v>-0.1975679253733979</v>
      </c>
      <c r="O59" s="29">
        <f>$A$3/$A$6*COS(2*E59*PI()/180)/$A$15</f>
        <v>-0.1975679253733979</v>
      </c>
      <c r="P59" s="29">
        <f>$A$3/$A$6*COS(2*F59*PI()/180)/$A$15</f>
        <v>-0.1975679253733979</v>
      </c>
      <c r="Q59" s="29">
        <f t="shared" si="3"/>
        <v>-0.7902717014935916</v>
      </c>
      <c r="R59" s="55">
        <f t="shared" si="4"/>
        <v>-15432.958562886455</v>
      </c>
      <c r="S59" s="4"/>
    </row>
    <row r="60" spans="3:19" ht="12.75">
      <c r="C60" s="20">
        <v>280</v>
      </c>
      <c r="D60" s="28">
        <f t="shared" si="6"/>
        <v>100</v>
      </c>
      <c r="E60" s="28">
        <f t="shared" si="6"/>
        <v>100</v>
      </c>
      <c r="F60" s="51">
        <f t="shared" si="6"/>
        <v>280</v>
      </c>
      <c r="G60" s="54">
        <f>COS(C60*PI()/180)/$A$15</f>
        <v>0.139346223063706</v>
      </c>
      <c r="H60" s="29">
        <f>COS(D60*PI()/180)/$A$15</f>
        <v>-0.13934622306370628</v>
      </c>
      <c r="I60" s="29">
        <f>COS(E60*PI()/180)/$A$15</f>
        <v>-0.13934622306370628</v>
      </c>
      <c r="J60" s="29">
        <f>COS(F60*PI()/180)/$A$15</f>
        <v>0.139346223063706</v>
      </c>
      <c r="K60" s="29">
        <f t="shared" si="1"/>
        <v>-5.551115123125783E-16</v>
      </c>
      <c r="L60" s="55">
        <f t="shared" si="2"/>
        <v>-1.0840591851017615E-11</v>
      </c>
      <c r="M60" s="54">
        <f>$A$3/$A$6*COS(2*C60*PI()/180)/$A$15</f>
        <v>-0.1885171202293141</v>
      </c>
      <c r="N60" s="29">
        <f>$A$3/$A$6*COS(2*D60*PI()/180)/$A$15</f>
        <v>-0.18851712022931405</v>
      </c>
      <c r="O60" s="29">
        <f>$A$3/$A$6*COS(2*E60*PI()/180)/$A$15</f>
        <v>-0.18851712022931405</v>
      </c>
      <c r="P60" s="29">
        <f>$A$3/$A$6*COS(2*F60*PI()/180)/$A$15</f>
        <v>-0.1885171202293141</v>
      </c>
      <c r="Q60" s="29">
        <f t="shared" si="3"/>
        <v>-0.7540684809172563</v>
      </c>
      <c r="R60" s="55">
        <f t="shared" si="4"/>
        <v>-14725.957664408565</v>
      </c>
      <c r="S60" s="4"/>
    </row>
    <row r="61" spans="3:19" ht="12.75">
      <c r="C61" s="20">
        <v>285</v>
      </c>
      <c r="D61" s="28">
        <f t="shared" si="6"/>
        <v>105</v>
      </c>
      <c r="E61" s="28">
        <f t="shared" si="6"/>
        <v>105</v>
      </c>
      <c r="F61" s="51">
        <f t="shared" si="6"/>
        <v>285</v>
      </c>
      <c r="G61" s="54">
        <f>COS(C61*PI()/180)/$A$15</f>
        <v>0.2076926857313038</v>
      </c>
      <c r="H61" s="29">
        <f>COS(D61*PI()/180)/$A$15</f>
        <v>-0.2076926857313036</v>
      </c>
      <c r="I61" s="29">
        <f>COS(E61*PI()/180)/$A$15</f>
        <v>-0.2076926857313036</v>
      </c>
      <c r="J61" s="29">
        <f>COS(F61*PI()/180)/$A$15</f>
        <v>0.2076926857313038</v>
      </c>
      <c r="K61" s="29">
        <f t="shared" si="1"/>
        <v>4.440892098500626E-16</v>
      </c>
      <c r="L61" s="55">
        <f t="shared" si="2"/>
        <v>8.672473480814092E-12</v>
      </c>
      <c r="M61" s="54">
        <f>$A$3/$A$6*COS(2*C61*PI()/180)/$A$15</f>
        <v>-0.1737383177813281</v>
      </c>
      <c r="N61" s="29">
        <f>$A$3/$A$6*COS(2*D61*PI()/180)/$A$15</f>
        <v>-0.17373831778132817</v>
      </c>
      <c r="O61" s="29">
        <f>$A$3/$A$6*COS(2*E61*PI()/180)/$A$15</f>
        <v>-0.17373831778132817</v>
      </c>
      <c r="P61" s="29">
        <f>$A$3/$A$6*COS(2*F61*PI()/180)/$A$15</f>
        <v>-0.1737383177813281</v>
      </c>
      <c r="Q61" s="29">
        <f t="shared" si="3"/>
        <v>-0.6949532711253126</v>
      </c>
      <c r="R61" s="55">
        <f t="shared" si="4"/>
        <v>-13571.515993991741</v>
      </c>
      <c r="S61" s="4"/>
    </row>
    <row r="62" spans="3:19" ht="12.75">
      <c r="C62" s="20">
        <v>290</v>
      </c>
      <c r="D62" s="28">
        <f t="shared" si="6"/>
        <v>110</v>
      </c>
      <c r="E62" s="28">
        <f t="shared" si="6"/>
        <v>110</v>
      </c>
      <c r="F62" s="51">
        <f t="shared" si="6"/>
        <v>290</v>
      </c>
      <c r="G62" s="54">
        <f>COS(C62*PI()/180)/$A$15</f>
        <v>0.2744584816522126</v>
      </c>
      <c r="H62" s="29">
        <f>COS(D62*PI()/180)/$A$15</f>
        <v>-0.27445848165221304</v>
      </c>
      <c r="I62" s="29">
        <f>COS(E62*PI()/180)/$A$15</f>
        <v>-0.27445848165221304</v>
      </c>
      <c r="J62" s="29">
        <f>COS(F62*PI()/180)/$A$15</f>
        <v>0.2744584816522126</v>
      </c>
      <c r="K62" s="29">
        <f t="shared" si="1"/>
        <v>-8.881784197001252E-16</v>
      </c>
      <c r="L62" s="55">
        <f t="shared" si="2"/>
        <v>-1.7344946961628185E-11</v>
      </c>
      <c r="M62" s="54">
        <f>$A$3/$A$6*COS(2*C62*PI()/180)/$A$15</f>
        <v>-0.15368056446338763</v>
      </c>
      <c r="N62" s="29">
        <f>$A$3/$A$6*COS(2*D62*PI()/180)/$A$15</f>
        <v>-0.15368056446338746</v>
      </c>
      <c r="O62" s="29">
        <f>$A$3/$A$6*COS(2*E62*PI()/180)/$A$15</f>
        <v>-0.15368056446338746</v>
      </c>
      <c r="P62" s="29">
        <f>$A$3/$A$6*COS(2*F62*PI()/180)/$A$15</f>
        <v>-0.15368056446338763</v>
      </c>
      <c r="Q62" s="29">
        <f t="shared" si="3"/>
        <v>-0.6147222578535502</v>
      </c>
      <c r="R62" s="55">
        <f t="shared" si="4"/>
        <v>-12004.710677615949</v>
      </c>
      <c r="S62" s="4"/>
    </row>
    <row r="63" spans="3:19" ht="12.75">
      <c r="C63" s="20">
        <v>295</v>
      </c>
      <c r="D63" s="28">
        <f t="shared" si="6"/>
        <v>115</v>
      </c>
      <c r="E63" s="28">
        <f t="shared" si="6"/>
        <v>115</v>
      </c>
      <c r="F63" s="51">
        <f t="shared" si="6"/>
        <v>295</v>
      </c>
      <c r="G63" s="54">
        <f>COS(C63*PI()/180)/$A$15</f>
        <v>0.3391354828051872</v>
      </c>
      <c r="H63" s="29">
        <f>COS(D63*PI()/180)/$A$15</f>
        <v>-0.33913548280518696</v>
      </c>
      <c r="I63" s="29">
        <f>COS(E63*PI()/180)/$A$15</f>
        <v>-0.33913548280518696</v>
      </c>
      <c r="J63" s="29">
        <f>COS(F63*PI()/180)/$A$15</f>
        <v>0.3391354828051872</v>
      </c>
      <c r="K63" s="29">
        <f t="shared" si="1"/>
        <v>4.440892098500626E-16</v>
      </c>
      <c r="L63" s="55">
        <f t="shared" si="2"/>
        <v>8.672473480814092E-12</v>
      </c>
      <c r="M63" s="54">
        <f>$A$3/$A$6*COS(2*C63*PI()/180)/$A$15</f>
        <v>-0.12895330496034457</v>
      </c>
      <c r="N63" s="29">
        <f>$A$3/$A$6*COS(2*D63*PI()/180)/$A$15</f>
        <v>-0.12895330496034466</v>
      </c>
      <c r="O63" s="29">
        <f>$A$3/$A$6*COS(2*E63*PI()/180)/$A$15</f>
        <v>-0.12895330496034466</v>
      </c>
      <c r="P63" s="29">
        <f>$A$3/$A$6*COS(2*F63*PI()/180)/$A$15</f>
        <v>-0.12895330496034457</v>
      </c>
      <c r="Q63" s="29">
        <f t="shared" si="3"/>
        <v>-0.5158132198413785</v>
      </c>
      <c r="R63" s="55">
        <f t="shared" si="4"/>
        <v>-10073.148301977491</v>
      </c>
      <c r="S63" s="4"/>
    </row>
    <row r="64" spans="3:19" ht="12.75">
      <c r="C64" s="20">
        <v>300</v>
      </c>
      <c r="D64" s="28">
        <f t="shared" si="6"/>
        <v>120</v>
      </c>
      <c r="E64" s="28">
        <f t="shared" si="6"/>
        <v>120</v>
      </c>
      <c r="F64" s="51">
        <f t="shared" si="6"/>
        <v>300</v>
      </c>
      <c r="G64" s="54">
        <f>COS(C64*PI()/180)/$A$15</f>
        <v>0.4012314581584104</v>
      </c>
      <c r="H64" s="29">
        <f>COS(D64*PI()/180)/$A$15</f>
        <v>-0.4012314581584101</v>
      </c>
      <c r="I64" s="29">
        <f>COS(E64*PI()/180)/$A$15</f>
        <v>-0.4012314581584101</v>
      </c>
      <c r="J64" s="29">
        <f>COS(F64*PI()/180)/$A$15</f>
        <v>0.4012314581584104</v>
      </c>
      <c r="K64" s="29">
        <f t="shared" si="1"/>
        <v>5.551115123125783E-16</v>
      </c>
      <c r="L64" s="55">
        <f t="shared" si="2"/>
        <v>1.0840591851017615E-11</v>
      </c>
      <c r="M64" s="54">
        <f>$A$3/$A$6*COS(2*C64*PI()/180)/$A$15</f>
        <v>-0.10030786453960254</v>
      </c>
      <c r="N64" s="29">
        <f>$A$3/$A$6*COS(2*D64*PI()/180)/$A$15</f>
        <v>-0.10030786453960265</v>
      </c>
      <c r="O64" s="29">
        <f>$A$3/$A$6*COS(2*E64*PI()/180)/$A$15</f>
        <v>-0.10030786453960265</v>
      </c>
      <c r="P64" s="29">
        <f>$A$3/$A$6*COS(2*F64*PI()/180)/$A$15</f>
        <v>-0.10030786453960254</v>
      </c>
      <c r="Q64" s="29">
        <f t="shared" si="3"/>
        <v>-0.4012314581584104</v>
      </c>
      <c r="R64" s="55">
        <f t="shared" si="4"/>
        <v>-7835.518412442447</v>
      </c>
      <c r="S64" s="4"/>
    </row>
    <row r="65" spans="3:19" ht="12.75">
      <c r="C65" s="20">
        <v>305</v>
      </c>
      <c r="D65" s="28">
        <f t="shared" si="6"/>
        <v>125</v>
      </c>
      <c r="E65" s="28">
        <f t="shared" si="6"/>
        <v>125</v>
      </c>
      <c r="F65" s="51">
        <f t="shared" si="6"/>
        <v>305</v>
      </c>
      <c r="G65" s="54">
        <f>COS(C65*PI()/180)/$A$15</f>
        <v>0.4602738198448696</v>
      </c>
      <c r="H65" s="29">
        <f>COS(D65*PI()/180)/$A$15</f>
        <v>-0.4602738198448694</v>
      </c>
      <c r="I65" s="29">
        <f>COS(E65*PI()/180)/$A$15</f>
        <v>-0.4602738198448694</v>
      </c>
      <c r="J65" s="29">
        <f>COS(F65*PI()/180)/$A$15</f>
        <v>0.4602738198448696</v>
      </c>
      <c r="K65" s="29">
        <f t="shared" si="1"/>
        <v>0</v>
      </c>
      <c r="L65" s="55">
        <f t="shared" si="2"/>
        <v>0</v>
      </c>
      <c r="M65" s="54">
        <f>$A$3/$A$6*COS(2*C65*PI()/180)/$A$15</f>
        <v>-0.06861462041305327</v>
      </c>
      <c r="N65" s="29">
        <f>$A$3/$A$6*COS(2*D65*PI()/180)/$A$15</f>
        <v>-0.0686146204130534</v>
      </c>
      <c r="O65" s="29">
        <f>$A$3/$A$6*COS(2*E65*PI()/180)/$A$15</f>
        <v>-0.0686146204130534</v>
      </c>
      <c r="P65" s="29">
        <f>$A$3/$A$6*COS(2*F65*PI()/180)/$A$15</f>
        <v>-0.06861462041305327</v>
      </c>
      <c r="Q65" s="29">
        <f t="shared" si="3"/>
        <v>-0.2744584816522133</v>
      </c>
      <c r="R65" s="55">
        <f t="shared" si="4"/>
        <v>-5359.810260908967</v>
      </c>
      <c r="S65" s="4"/>
    </row>
    <row r="66" spans="3:19" ht="12.75">
      <c r="C66" s="20">
        <v>310</v>
      </c>
      <c r="D66" s="28">
        <f t="shared" si="6"/>
        <v>130</v>
      </c>
      <c r="E66" s="28">
        <f t="shared" si="6"/>
        <v>130</v>
      </c>
      <c r="F66" s="51">
        <f t="shared" si="6"/>
        <v>310</v>
      </c>
      <c r="G66" s="54">
        <f>COS(C66*PI()/180)/$A$15</f>
        <v>0.5158132198413784</v>
      </c>
      <c r="H66" s="29">
        <f>COS(D66*PI()/180)/$A$15</f>
        <v>-0.5158132198413785</v>
      </c>
      <c r="I66" s="29">
        <f>COS(E66*PI()/180)/$A$15</f>
        <v>-0.5158132198413785</v>
      </c>
      <c r="J66" s="29">
        <f>COS(F66*PI()/180)/$A$15</f>
        <v>0.5158132198413784</v>
      </c>
      <c r="K66" s="29">
        <f t="shared" si="1"/>
        <v>0</v>
      </c>
      <c r="L66" s="55">
        <f t="shared" si="2"/>
        <v>0</v>
      </c>
      <c r="M66" s="54">
        <f>$A$3/$A$6*COS(2*C66*PI()/180)/$A$15</f>
        <v>-0.034836555765926626</v>
      </c>
      <c r="N66" s="29">
        <f>$A$3/$A$6*COS(2*D66*PI()/180)/$A$15</f>
        <v>-0.03483655576592658</v>
      </c>
      <c r="O66" s="29">
        <f>$A$3/$A$6*COS(2*E66*PI()/180)/$A$15</f>
        <v>-0.03483655576592658</v>
      </c>
      <c r="P66" s="29">
        <f>$A$3/$A$6*COS(2*F66*PI()/180)/$A$15</f>
        <v>-0.034836555765926626</v>
      </c>
      <c r="Q66" s="29">
        <f t="shared" si="3"/>
        <v>-0.13934622306370642</v>
      </c>
      <c r="R66" s="55">
        <f t="shared" si="4"/>
        <v>-2721.246986792621</v>
      </c>
      <c r="S66" s="4"/>
    </row>
    <row r="67" spans="3:19" ht="12.75">
      <c r="C67" s="20">
        <v>315</v>
      </c>
      <c r="D67" s="28">
        <f t="shared" si="6"/>
        <v>135</v>
      </c>
      <c r="E67" s="28">
        <f t="shared" si="6"/>
        <v>135</v>
      </c>
      <c r="F67" s="51">
        <f t="shared" si="6"/>
        <v>315</v>
      </c>
      <c r="G67" s="54">
        <f>COS(C67*PI()/180)/$A$15</f>
        <v>0.5674269697783567</v>
      </c>
      <c r="H67" s="29">
        <f>COS(D67*PI()/180)/$A$15</f>
        <v>-0.5674269697783567</v>
      </c>
      <c r="I67" s="29">
        <f>COS(E67*PI()/180)/$A$15</f>
        <v>-0.5674269697783567</v>
      </c>
      <c r="J67" s="29">
        <f>COS(F67*PI()/180)/$A$15</f>
        <v>0.5674269697783567</v>
      </c>
      <c r="K67" s="29">
        <f t="shared" si="1"/>
        <v>0</v>
      </c>
      <c r="L67" s="55">
        <f t="shared" si="2"/>
        <v>0</v>
      </c>
      <c r="M67" s="54">
        <f>$A$3/$A$6*COS(2*C67*PI()/180)/$A$15</f>
        <v>-8.602441767911407E-17</v>
      </c>
      <c r="N67" s="29">
        <f>$A$3/$A$6*COS(2*D67*PI()/180)/$A$15</f>
        <v>-3.6867607576763175E-17</v>
      </c>
      <c r="O67" s="29">
        <f>$A$3/$A$6*COS(2*E67*PI()/180)/$A$15</f>
        <v>-3.6867607576763175E-17</v>
      </c>
      <c r="P67" s="29">
        <f>$A$3/$A$6*COS(2*F67*PI()/180)/$A$15</f>
        <v>-8.602441767911407E-17</v>
      </c>
      <c r="Q67" s="29">
        <f t="shared" si="3"/>
        <v>-2.4578405051175446E-16</v>
      </c>
      <c r="R67" s="55">
        <f t="shared" si="4"/>
        <v>-4.799836638205951E-12</v>
      </c>
      <c r="S67" s="4"/>
    </row>
    <row r="68" spans="3:19" ht="12.75">
      <c r="C68" s="20">
        <v>320</v>
      </c>
      <c r="D68" s="28">
        <f t="shared" si="6"/>
        <v>140</v>
      </c>
      <c r="E68" s="28">
        <f t="shared" si="6"/>
        <v>140</v>
      </c>
      <c r="F68" s="51">
        <f t="shared" si="6"/>
        <v>320</v>
      </c>
      <c r="G68" s="54">
        <f>COS(C68*PI()/180)/$A$15</f>
        <v>0.6147222578535496</v>
      </c>
      <c r="H68" s="29">
        <f>COS(D68*PI()/180)/$A$15</f>
        <v>-0.6147222578535497</v>
      </c>
      <c r="I68" s="29">
        <f>COS(E68*PI()/180)/$A$15</f>
        <v>-0.6147222578535497</v>
      </c>
      <c r="J68" s="29">
        <f>COS(F68*PI()/180)/$A$15</f>
        <v>0.6147222578535496</v>
      </c>
      <c r="K68" s="29">
        <f t="shared" si="1"/>
        <v>0</v>
      </c>
      <c r="L68" s="55">
        <f t="shared" si="2"/>
        <v>0</v>
      </c>
      <c r="M68" s="54">
        <f>$A$3/$A$6*COS(2*C68*PI()/180)/$A$15</f>
        <v>0.03483655576592645</v>
      </c>
      <c r="N68" s="29">
        <f>$A$3/$A$6*COS(2*D68*PI()/180)/$A$15</f>
        <v>0.0348365557659265</v>
      </c>
      <c r="O68" s="29">
        <f>$A$3/$A$6*COS(2*E68*PI()/180)/$A$15</f>
        <v>0.0348365557659265</v>
      </c>
      <c r="P68" s="29">
        <f>$A$3/$A$6*COS(2*F68*PI()/180)/$A$15</f>
        <v>0.03483655576592645</v>
      </c>
      <c r="Q68" s="29">
        <f t="shared" si="3"/>
        <v>0.13934622306370592</v>
      </c>
      <c r="R68" s="55">
        <f t="shared" si="4"/>
        <v>2721.2469867926116</v>
      </c>
      <c r="S68" s="4"/>
    </row>
    <row r="69" spans="3:19" ht="12.75">
      <c r="C69" s="20">
        <v>325</v>
      </c>
      <c r="D69" s="28">
        <f t="shared" si="6"/>
        <v>145</v>
      </c>
      <c r="E69" s="28">
        <f t="shared" si="6"/>
        <v>145</v>
      </c>
      <c r="F69" s="51">
        <f t="shared" si="6"/>
        <v>325</v>
      </c>
      <c r="G69" s="54">
        <f>COS(C69*PI()/180)/$A$15</f>
        <v>0.6573391383670295</v>
      </c>
      <c r="H69" s="29">
        <f>COS(D69*PI()/180)/$A$15</f>
        <v>-0.6573391383670295</v>
      </c>
      <c r="I69" s="29">
        <f>COS(E69*PI()/180)/$A$15</f>
        <v>-0.6573391383670295</v>
      </c>
      <c r="J69" s="29">
        <f>COS(F69*PI()/180)/$A$15</f>
        <v>0.6573391383670295</v>
      </c>
      <c r="K69" s="29">
        <f aca="true" t="shared" si="7" ref="K69:K76">G69+H69+I69+J69</f>
        <v>0</v>
      </c>
      <c r="L69" s="55">
        <f aca="true" t="shared" si="8" ref="L69:L76">A$18*K69</f>
        <v>0</v>
      </c>
      <c r="M69" s="54">
        <f>$A$3/$A$6*COS(2*C69*PI()/180)/$A$15</f>
        <v>0.0686146204130531</v>
      </c>
      <c r="N69" s="29">
        <f>$A$3/$A$6*COS(2*D69*PI()/180)/$A$15</f>
        <v>0.06861462041305315</v>
      </c>
      <c r="O69" s="29">
        <f>$A$3/$A$6*COS(2*E69*PI()/180)/$A$15</f>
        <v>0.06861462041305315</v>
      </c>
      <c r="P69" s="29">
        <f>$A$3/$A$6*COS(2*F69*PI()/180)/$A$15</f>
        <v>0.0686146204130531</v>
      </c>
      <c r="Q69" s="29">
        <f aca="true" t="shared" si="9" ref="Q69:Q76">M69+N69+O69+P69</f>
        <v>0.27445848165221254</v>
      </c>
      <c r="R69" s="55">
        <f aca="true" t="shared" si="10" ref="R69:R76">A$18*Q69</f>
        <v>5359.810260908952</v>
      </c>
      <c r="S69" s="4"/>
    </row>
    <row r="70" spans="3:19" ht="12.75">
      <c r="C70" s="20">
        <v>330</v>
      </c>
      <c r="D70" s="28">
        <f t="shared" si="6"/>
        <v>150</v>
      </c>
      <c r="E70" s="28">
        <f t="shared" si="6"/>
        <v>150</v>
      </c>
      <c r="F70" s="51">
        <f t="shared" si="6"/>
        <v>330</v>
      </c>
      <c r="G70" s="54">
        <f>COS(C70*PI()/180)/$A$15</f>
        <v>0.6949532711253125</v>
      </c>
      <c r="H70" s="29">
        <f>COS(D70*PI()/180)/$A$15</f>
        <v>-0.6949532711253128</v>
      </c>
      <c r="I70" s="29">
        <f>COS(E70*PI()/180)/$A$15</f>
        <v>-0.6949532711253128</v>
      </c>
      <c r="J70" s="29">
        <f>COS(F70*PI()/180)/$A$15</f>
        <v>0.6949532711253125</v>
      </c>
      <c r="K70" s="29">
        <f t="shared" si="7"/>
        <v>0</v>
      </c>
      <c r="L70" s="55">
        <f t="shared" si="8"/>
        <v>0</v>
      </c>
      <c r="M70" s="54">
        <f>$A$3/$A$6*COS(2*C70*PI()/180)/$A$15</f>
        <v>0.10030786453960239</v>
      </c>
      <c r="N70" s="29">
        <f>$A$3/$A$6*COS(2*D70*PI()/180)/$A$15</f>
        <v>0.1003078645396026</v>
      </c>
      <c r="O70" s="29">
        <f>$A$3/$A$6*COS(2*E70*PI()/180)/$A$15</f>
        <v>0.1003078645396026</v>
      </c>
      <c r="P70" s="29">
        <f>$A$3/$A$6*COS(2*F70*PI()/180)/$A$15</f>
        <v>0.10030786453960239</v>
      </c>
      <c r="Q70" s="29">
        <f t="shared" si="9"/>
        <v>0.40123145815841</v>
      </c>
      <c r="R70" s="55">
        <f t="shared" si="10"/>
        <v>7835.518412442439</v>
      </c>
      <c r="S70" s="4"/>
    </row>
    <row r="71" spans="3:19" ht="12.75">
      <c r="C71" s="20">
        <v>335</v>
      </c>
      <c r="D71" s="28">
        <f t="shared" si="6"/>
        <v>155</v>
      </c>
      <c r="E71" s="28">
        <f t="shared" si="6"/>
        <v>155</v>
      </c>
      <c r="F71" s="51">
        <f t="shared" si="6"/>
        <v>335</v>
      </c>
      <c r="G71" s="54">
        <f>COS(C71*PI()/180)/$A$15</f>
        <v>0.7272783898660738</v>
      </c>
      <c r="H71" s="29">
        <f>COS(D71*PI()/180)/$A$15</f>
        <v>-0.7272783898660741</v>
      </c>
      <c r="I71" s="29">
        <f>COS(E71*PI()/180)/$A$15</f>
        <v>-0.7272783898660741</v>
      </c>
      <c r="J71" s="29">
        <f>COS(F71*PI()/180)/$A$15</f>
        <v>0.7272783898660738</v>
      </c>
      <c r="K71" s="29">
        <f t="shared" si="7"/>
        <v>0</v>
      </c>
      <c r="L71" s="55">
        <f t="shared" si="8"/>
        <v>0</v>
      </c>
      <c r="M71" s="54">
        <f>$A$3/$A$6*COS(2*C71*PI()/180)/$A$15</f>
        <v>0.12895330496034443</v>
      </c>
      <c r="N71" s="29">
        <f>$A$3/$A$6*COS(2*D71*PI()/180)/$A$15</f>
        <v>0.1289533049603446</v>
      </c>
      <c r="O71" s="29">
        <f>$A$3/$A$6*COS(2*E71*PI()/180)/$A$15</f>
        <v>0.1289533049603446</v>
      </c>
      <c r="P71" s="29">
        <f>$A$3/$A$6*COS(2*F71*PI()/180)/$A$15</f>
        <v>0.12895330496034443</v>
      </c>
      <c r="Q71" s="29">
        <f t="shared" si="9"/>
        <v>0.5158132198413781</v>
      </c>
      <c r="R71" s="55">
        <f t="shared" si="10"/>
        <v>10073.148301977484</v>
      </c>
      <c r="S71" s="4"/>
    </row>
    <row r="72" spans="3:19" ht="12.75">
      <c r="C72" s="20">
        <v>340</v>
      </c>
      <c r="D72" s="28">
        <f t="shared" si="6"/>
        <v>160</v>
      </c>
      <c r="E72" s="28">
        <f t="shared" si="6"/>
        <v>160</v>
      </c>
      <c r="F72" s="51">
        <f t="shared" si="6"/>
        <v>340</v>
      </c>
      <c r="G72" s="54">
        <f>COS(C72*PI()/180)/$A$15</f>
        <v>0.7540684809172562</v>
      </c>
      <c r="H72" s="29">
        <f>COS(D72*PI()/180)/$A$15</f>
        <v>-0.7540684809172561</v>
      </c>
      <c r="I72" s="29">
        <f>COS(E72*PI()/180)/$A$15</f>
        <v>-0.7540684809172561</v>
      </c>
      <c r="J72" s="29">
        <f>COS(F72*PI()/180)/$A$15</f>
        <v>0.7540684809172562</v>
      </c>
      <c r="K72" s="29">
        <f t="shared" si="7"/>
        <v>0</v>
      </c>
      <c r="L72" s="55">
        <f t="shared" si="8"/>
        <v>0</v>
      </c>
      <c r="M72" s="54">
        <f>$A$3/$A$6*COS(2*C72*PI()/180)/$A$15</f>
        <v>0.15368056446338751</v>
      </c>
      <c r="N72" s="29">
        <f>$A$3/$A$6*COS(2*D72*PI()/180)/$A$15</f>
        <v>0.1536805644633874</v>
      </c>
      <c r="O72" s="29">
        <f>$A$3/$A$6*COS(2*E72*PI()/180)/$A$15</f>
        <v>0.1536805644633874</v>
      </c>
      <c r="P72" s="29">
        <f>$A$3/$A$6*COS(2*F72*PI()/180)/$A$15</f>
        <v>0.15368056446338751</v>
      </c>
      <c r="Q72" s="29">
        <f t="shared" si="9"/>
        <v>0.6147222578535498</v>
      </c>
      <c r="R72" s="55">
        <f t="shared" si="10"/>
        <v>12004.710677615942</v>
      </c>
      <c r="S72" s="4"/>
    </row>
    <row r="73" spans="3:19" ht="12.75">
      <c r="C73" s="20">
        <v>345</v>
      </c>
      <c r="D73" s="28">
        <f t="shared" si="6"/>
        <v>165</v>
      </c>
      <c r="E73" s="28">
        <f t="shared" si="6"/>
        <v>165</v>
      </c>
      <c r="F73" s="51">
        <f t="shared" si="6"/>
        <v>345</v>
      </c>
      <c r="G73" s="54">
        <f>COS(C73*PI()/180)/$A$15</f>
        <v>0.7751196555096603</v>
      </c>
      <c r="H73" s="29">
        <f>COS(D73*PI()/180)/$A$15</f>
        <v>-0.7751196555096602</v>
      </c>
      <c r="I73" s="29">
        <f>COS(E73*PI()/180)/$A$15</f>
        <v>-0.7751196555096602</v>
      </c>
      <c r="J73" s="29">
        <f>COS(F73*PI()/180)/$A$15</f>
        <v>0.7751196555096603</v>
      </c>
      <c r="K73" s="29">
        <f t="shared" si="7"/>
        <v>0</v>
      </c>
      <c r="L73" s="55">
        <f t="shared" si="8"/>
        <v>0</v>
      </c>
      <c r="M73" s="54">
        <f>$A$3/$A$6*COS(2*C73*PI()/180)/$A$15</f>
        <v>0.1737383177813282</v>
      </c>
      <c r="N73" s="29">
        <f>$A$3/$A$6*COS(2*D73*PI()/180)/$A$15</f>
        <v>0.17373831778132812</v>
      </c>
      <c r="O73" s="29">
        <f>$A$3/$A$6*COS(2*E73*PI()/180)/$A$15</f>
        <v>0.17373831778132812</v>
      </c>
      <c r="P73" s="29">
        <f>$A$3/$A$6*COS(2*F73*PI()/180)/$A$15</f>
        <v>0.1737383177813282</v>
      </c>
      <c r="Q73" s="29">
        <f t="shared" si="9"/>
        <v>0.6949532711253126</v>
      </c>
      <c r="R73" s="55">
        <f t="shared" si="10"/>
        <v>13571.515993991741</v>
      </c>
      <c r="S73" s="4"/>
    </row>
    <row r="74" spans="3:19" ht="12.75">
      <c r="C74" s="20">
        <v>350</v>
      </c>
      <c r="D74" s="28">
        <f t="shared" si="6"/>
        <v>170</v>
      </c>
      <c r="E74" s="28">
        <f t="shared" si="6"/>
        <v>170</v>
      </c>
      <c r="F74" s="51">
        <f t="shared" si="6"/>
        <v>350</v>
      </c>
      <c r="G74" s="54">
        <f>COS(C74*PI()/180)/$A$15</f>
        <v>0.7902717014935915</v>
      </c>
      <c r="H74" s="29">
        <f>COS(D74*PI()/180)/$A$15</f>
        <v>-0.7902717014935916</v>
      </c>
      <c r="I74" s="29">
        <f>COS(E74*PI()/180)/$A$15</f>
        <v>-0.7902717014935916</v>
      </c>
      <c r="J74" s="29">
        <f>COS(F74*PI()/180)/$A$15</f>
        <v>0.7902717014935915</v>
      </c>
      <c r="K74" s="29">
        <f t="shared" si="7"/>
        <v>0</v>
      </c>
      <c r="L74" s="55">
        <f t="shared" si="8"/>
        <v>0</v>
      </c>
      <c r="M74" s="54">
        <f>$A$3/$A$6*COS(2*C74*PI()/180)/$A$15</f>
        <v>0.1885171202293139</v>
      </c>
      <c r="N74" s="29">
        <f>$A$3/$A$6*COS(2*D74*PI()/180)/$A$15</f>
        <v>0.18851712022931405</v>
      </c>
      <c r="O74" s="29">
        <f>$A$3/$A$6*COS(2*E74*PI()/180)/$A$15</f>
        <v>0.18851712022931405</v>
      </c>
      <c r="P74" s="29">
        <f>$A$3/$A$6*COS(2*F74*PI()/180)/$A$15</f>
        <v>0.1885171202293139</v>
      </c>
      <c r="Q74" s="29">
        <f t="shared" si="9"/>
        <v>0.754068480917256</v>
      </c>
      <c r="R74" s="55">
        <f t="shared" si="10"/>
        <v>14725.957664408557</v>
      </c>
      <c r="S74" s="4"/>
    </row>
    <row r="75" spans="3:19" ht="12.75">
      <c r="C75" s="20">
        <v>355</v>
      </c>
      <c r="D75" s="28">
        <f t="shared" si="6"/>
        <v>175</v>
      </c>
      <c r="E75" s="28">
        <f t="shared" si="6"/>
        <v>175</v>
      </c>
      <c r="F75" s="51">
        <f t="shared" si="6"/>
        <v>355</v>
      </c>
      <c r="G75" s="54">
        <f>COS(C75*PI()/180)/$A$15</f>
        <v>0.7994093026500567</v>
      </c>
      <c r="H75" s="29">
        <f>COS(D75*PI()/180)/$A$15</f>
        <v>-0.7994093026500567</v>
      </c>
      <c r="I75" s="29">
        <f>COS(E75*PI()/180)/$A$15</f>
        <v>-0.7994093026500567</v>
      </c>
      <c r="J75" s="29">
        <f>COS(F75*PI()/180)/$A$15</f>
        <v>0.7994093026500567</v>
      </c>
      <c r="K75" s="29">
        <f t="shared" si="7"/>
        <v>0</v>
      </c>
      <c r="L75" s="55">
        <f t="shared" si="8"/>
        <v>0</v>
      </c>
      <c r="M75" s="54">
        <f>$A$3/$A$6*COS(2*C75*PI()/180)/$A$15</f>
        <v>0.1975679253733979</v>
      </c>
      <c r="N75" s="29">
        <f>$A$3/$A$6*COS(2*D75*PI()/180)/$A$15</f>
        <v>0.19756792537339787</v>
      </c>
      <c r="O75" s="29">
        <f>$A$3/$A$6*COS(2*E75*PI()/180)/$A$15</f>
        <v>0.19756792537339787</v>
      </c>
      <c r="P75" s="29">
        <f>$A$3/$A$6*COS(2*F75*PI()/180)/$A$15</f>
        <v>0.1975679253733979</v>
      </c>
      <c r="Q75" s="29">
        <f t="shared" si="9"/>
        <v>0.7902717014935916</v>
      </c>
      <c r="R75" s="55">
        <f t="shared" si="10"/>
        <v>15432.958562886455</v>
      </c>
      <c r="S75" s="4"/>
    </row>
    <row r="76" spans="3:19" ht="13.5" thickBot="1">
      <c r="C76" s="16">
        <v>360</v>
      </c>
      <c r="D76" s="17">
        <f t="shared" si="6"/>
        <v>180</v>
      </c>
      <c r="E76" s="17">
        <f t="shared" si="6"/>
        <v>180</v>
      </c>
      <c r="F76" s="19">
        <f t="shared" si="6"/>
        <v>360</v>
      </c>
      <c r="G76" s="41">
        <f>COS(C76*PI()/180)/$A$15</f>
        <v>0.8024629163168205</v>
      </c>
      <c r="H76" s="31">
        <f>COS(D76*PI()/180)/$A$15</f>
        <v>-0.8024629163168205</v>
      </c>
      <c r="I76" s="31">
        <f>COS(E76*PI()/180)/$A$15</f>
        <v>-0.8024629163168205</v>
      </c>
      <c r="J76" s="31">
        <f>COS(F76*PI()/180)/$A$15</f>
        <v>0.8024629163168205</v>
      </c>
      <c r="K76" s="31">
        <f t="shared" si="7"/>
        <v>0</v>
      </c>
      <c r="L76" s="56">
        <f t="shared" si="8"/>
        <v>0</v>
      </c>
      <c r="M76" s="41">
        <f>$A$3/$A$6*COS(2*C76*PI()/180)/$A$15</f>
        <v>0.20061572907920514</v>
      </c>
      <c r="N76" s="31">
        <f>$A$3/$A$6*COS(2*D76*PI()/180)/$A$15</f>
        <v>0.20061572907920514</v>
      </c>
      <c r="O76" s="31">
        <f>$A$3/$A$6*COS(2*E76*PI()/180)/$A$15</f>
        <v>0.20061572907920514</v>
      </c>
      <c r="P76" s="31">
        <f>$A$3/$A$6*COS(2*F76*PI()/180)/$A$15</f>
        <v>0.20061572907920514</v>
      </c>
      <c r="Q76" s="31">
        <f t="shared" si="9"/>
        <v>0.8024629163168205</v>
      </c>
      <c r="R76" s="56">
        <f t="shared" si="10"/>
        <v>15671.036824884888</v>
      </c>
      <c r="S76" s="4"/>
    </row>
    <row r="77" spans="3:17" ht="12.75">
      <c r="C77" s="2"/>
      <c r="D77" s="2"/>
      <c r="E77" s="2"/>
      <c r="F77" s="2"/>
      <c r="G77" s="4"/>
      <c r="K77" s="4"/>
      <c r="L77" s="4"/>
      <c r="N77" s="4"/>
      <c r="O77" s="4"/>
      <c r="P77" s="4"/>
      <c r="Q77" s="4"/>
    </row>
    <row r="78" spans="3:17" ht="12.75">
      <c r="C78" s="2"/>
      <c r="D78" s="2"/>
      <c r="E78" s="2"/>
      <c r="F78" s="2"/>
      <c r="G78" s="4"/>
      <c r="K78" s="4"/>
      <c r="L78" s="4"/>
      <c r="N78" s="4"/>
      <c r="O78" s="4"/>
      <c r="P78" s="4"/>
      <c r="Q78" s="4"/>
    </row>
    <row r="79" spans="3:17" ht="12.75">
      <c r="C79" s="2"/>
      <c r="D79" s="2"/>
      <c r="E79" s="2"/>
      <c r="F79" s="2"/>
      <c r="G79" s="4"/>
      <c r="K79" s="4"/>
      <c r="L79" s="4"/>
      <c r="N79" s="4"/>
      <c r="O79" s="4"/>
      <c r="P79" s="4"/>
      <c r="Q79" s="4"/>
    </row>
    <row r="80" spans="3:17" ht="12.75">
      <c r="C80" s="2"/>
      <c r="D80" s="2"/>
      <c r="E80" s="2"/>
      <c r="F80" s="2"/>
      <c r="G80" s="4"/>
      <c r="K80" s="4"/>
      <c r="L80" s="4"/>
      <c r="N80" s="4"/>
      <c r="O80" s="4"/>
      <c r="P80" s="4"/>
      <c r="Q80" s="4"/>
    </row>
    <row r="81" spans="3:17" ht="12.75">
      <c r="C81" s="2"/>
      <c r="D81" s="2"/>
      <c r="E81" s="2"/>
      <c r="F81" s="2"/>
      <c r="G81" s="4"/>
      <c r="K81" s="4"/>
      <c r="L81" s="4"/>
      <c r="N81" s="4"/>
      <c r="O81" s="4"/>
      <c r="P81" s="4"/>
      <c r="Q81" s="4"/>
    </row>
    <row r="82" spans="3:17" ht="12.75">
      <c r="C82" s="2"/>
      <c r="D82" s="2"/>
      <c r="E82" s="2"/>
      <c r="F82" s="2"/>
      <c r="G82" s="4"/>
      <c r="K82" s="4"/>
      <c r="L82" s="4"/>
      <c r="N82" s="4"/>
      <c r="O82" s="4"/>
      <c r="P82" s="4"/>
      <c r="Q82" s="4"/>
    </row>
    <row r="83" spans="3:17" ht="12.75">
      <c r="C83" s="2"/>
      <c r="D83" s="2"/>
      <c r="E83" s="2"/>
      <c r="F83" s="2"/>
      <c r="G83" s="4"/>
      <c r="K83" s="4"/>
      <c r="L83" s="4"/>
      <c r="N83" s="4"/>
      <c r="O83" s="4"/>
      <c r="P83" s="4"/>
      <c r="Q83" s="4"/>
    </row>
    <row r="84" spans="3:17" ht="12.75">
      <c r="C84" s="2"/>
      <c r="D84" s="2"/>
      <c r="E84" s="2"/>
      <c r="F84" s="2"/>
      <c r="G84" s="4"/>
      <c r="K84" s="4"/>
      <c r="L84" s="4"/>
      <c r="N84" s="4"/>
      <c r="O84" s="4"/>
      <c r="P84" s="4"/>
      <c r="Q84" s="4"/>
    </row>
    <row r="85" spans="3:17" ht="12.75">
      <c r="C85" s="2"/>
      <c r="D85" s="2"/>
      <c r="E85" s="2"/>
      <c r="F85" s="2"/>
      <c r="G85" s="4"/>
      <c r="K85" s="4"/>
      <c r="L85" s="4"/>
      <c r="N85" s="4"/>
      <c r="O85" s="4"/>
      <c r="P85" s="4"/>
      <c r="Q85" s="4"/>
    </row>
    <row r="86" spans="3:17" ht="12.75">
      <c r="C86" s="2"/>
      <c r="D86" s="2"/>
      <c r="E86" s="2"/>
      <c r="F86" s="2"/>
      <c r="G86" s="4"/>
      <c r="K86" s="4"/>
      <c r="L86" s="4"/>
      <c r="N86" s="4"/>
      <c r="O86" s="4"/>
      <c r="P86" s="4"/>
      <c r="Q86" s="4"/>
    </row>
    <row r="87" spans="3:17" ht="12.75">
      <c r="C87" s="2"/>
      <c r="D87" s="2"/>
      <c r="E87" s="2"/>
      <c r="F87" s="2"/>
      <c r="G87" s="4"/>
      <c r="K87" s="4"/>
      <c r="L87" s="4"/>
      <c r="N87" s="4"/>
      <c r="O87" s="4"/>
      <c r="P87" s="4"/>
      <c r="Q87" s="4"/>
    </row>
    <row r="88" spans="3:17" ht="12.75">
      <c r="C88" s="2"/>
      <c r="D88" s="2"/>
      <c r="E88" s="2"/>
      <c r="F88" s="2"/>
      <c r="G88" s="4"/>
      <c r="K88" s="4"/>
      <c r="L88" s="4"/>
      <c r="N88" s="4"/>
      <c r="O88" s="4"/>
      <c r="P88" s="4"/>
      <c r="Q88" s="4"/>
    </row>
    <row r="89" spans="3:17" ht="12.75">
      <c r="C89" s="2"/>
      <c r="D89" s="2"/>
      <c r="E89" s="2"/>
      <c r="F89" s="2"/>
      <c r="G89" s="4"/>
      <c r="K89" s="4"/>
      <c r="L89" s="4"/>
      <c r="N89" s="4"/>
      <c r="O89" s="4"/>
      <c r="P89" s="4"/>
      <c r="Q89" s="4"/>
    </row>
    <row r="90" spans="3:17" ht="12.75">
      <c r="C90" s="2"/>
      <c r="D90" s="2"/>
      <c r="E90" s="2"/>
      <c r="F90" s="2"/>
      <c r="G90" s="4"/>
      <c r="K90" s="4"/>
      <c r="L90" s="4"/>
      <c r="N90" s="4"/>
      <c r="O90" s="4"/>
      <c r="P90" s="4"/>
      <c r="Q90" s="4"/>
    </row>
    <row r="91" spans="3:17" ht="12.75">
      <c r="C91" s="2"/>
      <c r="D91" s="2"/>
      <c r="E91" s="2"/>
      <c r="F91" s="2"/>
      <c r="G91" s="4"/>
      <c r="K91" s="4"/>
      <c r="L91" s="4"/>
      <c r="N91" s="4"/>
      <c r="O91" s="4"/>
      <c r="P91" s="4"/>
      <c r="Q91" s="4"/>
    </row>
    <row r="92" spans="3:17" ht="12.75">
      <c r="C92" s="2"/>
      <c r="D92" s="2"/>
      <c r="E92" s="2"/>
      <c r="F92" s="2"/>
      <c r="G92" s="4"/>
      <c r="K92" s="4"/>
      <c r="L92" s="4"/>
      <c r="N92" s="4"/>
      <c r="O92" s="4"/>
      <c r="P92" s="4"/>
      <c r="Q92" s="4"/>
    </row>
    <row r="93" spans="3:17" ht="12.75">
      <c r="C93" s="2"/>
      <c r="D93" s="2"/>
      <c r="E93" s="2"/>
      <c r="F93" s="2"/>
      <c r="G93" s="4"/>
      <c r="K93" s="4"/>
      <c r="L93" s="4"/>
      <c r="N93" s="4"/>
      <c r="O93" s="4"/>
      <c r="P93" s="4"/>
      <c r="Q93" s="4"/>
    </row>
    <row r="94" spans="3:17" ht="12.75">
      <c r="C94" s="2"/>
      <c r="D94" s="2"/>
      <c r="E94" s="2"/>
      <c r="F94" s="2"/>
      <c r="G94" s="4"/>
      <c r="K94" s="4"/>
      <c r="L94" s="4"/>
      <c r="N94" s="4"/>
      <c r="O94" s="4"/>
      <c r="P94" s="4"/>
      <c r="Q94" s="4"/>
    </row>
    <row r="95" spans="3:17" ht="12.75">
      <c r="C95" s="2"/>
      <c r="D95" s="2"/>
      <c r="E95" s="2"/>
      <c r="F95" s="2"/>
      <c r="G95" s="4"/>
      <c r="K95" s="4"/>
      <c r="L95" s="4"/>
      <c r="N95" s="4"/>
      <c r="O95" s="4"/>
      <c r="P95" s="4"/>
      <c r="Q95" s="4"/>
    </row>
    <row r="96" spans="3:17" ht="12.75">
      <c r="C96" s="2"/>
      <c r="D96" s="2"/>
      <c r="E96" s="2"/>
      <c r="F96" s="2"/>
      <c r="G96" s="4"/>
      <c r="K96" s="4"/>
      <c r="L96" s="4"/>
      <c r="N96" s="4"/>
      <c r="O96" s="4"/>
      <c r="P96" s="4"/>
      <c r="Q96" s="4"/>
    </row>
    <row r="97" spans="3:17" ht="12.75">
      <c r="C97" s="2"/>
      <c r="D97" s="2"/>
      <c r="E97" s="2"/>
      <c r="F97" s="2"/>
      <c r="G97" s="4"/>
      <c r="K97" s="4"/>
      <c r="L97" s="4"/>
      <c r="N97" s="4"/>
      <c r="O97" s="4"/>
      <c r="P97" s="4"/>
      <c r="Q97" s="4"/>
    </row>
    <row r="98" spans="3:17" ht="12.75">
      <c r="C98" s="2"/>
      <c r="D98" s="2"/>
      <c r="E98" s="2"/>
      <c r="F98" s="2"/>
      <c r="G98" s="4"/>
      <c r="K98" s="4"/>
      <c r="L98" s="4"/>
      <c r="N98" s="4"/>
      <c r="O98" s="4"/>
      <c r="P98" s="4"/>
      <c r="Q98" s="4"/>
    </row>
    <row r="99" spans="3:17" ht="12.75">
      <c r="C99" s="2"/>
      <c r="D99" s="2"/>
      <c r="E99" s="2"/>
      <c r="F99" s="2"/>
      <c r="G99" s="4"/>
      <c r="K99" s="4"/>
      <c r="L99" s="4"/>
      <c r="N99" s="4"/>
      <c r="O99" s="4"/>
      <c r="P99" s="4"/>
      <c r="Q99" s="4"/>
    </row>
    <row r="100" spans="3:17" ht="12.75">
      <c r="C100" s="2"/>
      <c r="D100" s="2"/>
      <c r="E100" s="2"/>
      <c r="F100" s="2"/>
      <c r="G100" s="4"/>
      <c r="K100" s="4"/>
      <c r="L100" s="4"/>
      <c r="N100" s="4"/>
      <c r="O100" s="4"/>
      <c r="P100" s="4"/>
      <c r="Q100" s="4"/>
    </row>
    <row r="101" spans="3:12" ht="12.75">
      <c r="C101" s="2"/>
      <c r="D101" s="2"/>
      <c r="E101" s="2"/>
      <c r="F101" s="2"/>
      <c r="G101" s="4"/>
      <c r="K101" s="4"/>
      <c r="L101" s="4"/>
    </row>
    <row r="102" spans="3:12" ht="12.75">
      <c r="C102" s="2"/>
      <c r="D102" s="2"/>
      <c r="E102" s="2"/>
      <c r="F102" s="2"/>
      <c r="G102" s="4"/>
      <c r="K102" s="4"/>
      <c r="L102" s="4"/>
    </row>
    <row r="103" spans="3:12" ht="12.75">
      <c r="C103" s="2"/>
      <c r="D103" s="2"/>
      <c r="E103" s="2"/>
      <c r="F103" s="2"/>
      <c r="G103" s="4"/>
      <c r="K103" s="4"/>
      <c r="L103" s="4"/>
    </row>
    <row r="104" spans="3:12" ht="12.75">
      <c r="C104" s="2"/>
      <c r="D104" s="2"/>
      <c r="E104" s="2"/>
      <c r="F104" s="2"/>
      <c r="G104" s="4"/>
      <c r="K104" s="4"/>
      <c r="L104" s="4"/>
    </row>
    <row r="105" spans="3:12" ht="12.75">
      <c r="C105" s="2"/>
      <c r="D105" s="2"/>
      <c r="E105" s="2"/>
      <c r="F105" s="2"/>
      <c r="G105" s="4"/>
      <c r="K105" s="4"/>
      <c r="L105" s="4"/>
    </row>
    <row r="106" spans="3:12" ht="12.75">
      <c r="C106" s="2"/>
      <c r="D106" s="2"/>
      <c r="E106" s="2"/>
      <c r="F106" s="2"/>
      <c r="G106" s="4"/>
      <c r="K106" s="4"/>
      <c r="L106" s="4"/>
    </row>
    <row r="107" spans="3:12" ht="12.75">
      <c r="C107" s="2"/>
      <c r="D107" s="2"/>
      <c r="E107" s="2"/>
      <c r="F107" s="2"/>
      <c r="G107" s="4"/>
      <c r="K107" s="4"/>
      <c r="L107" s="4"/>
    </row>
    <row r="108" spans="3:12" ht="12.75">
      <c r="C108" s="2"/>
      <c r="D108" s="2"/>
      <c r="E108" s="2"/>
      <c r="F108" s="2"/>
      <c r="G108" s="4"/>
      <c r="K108" s="4"/>
      <c r="L108" s="4"/>
    </row>
    <row r="109" spans="3:12" ht="12.75">
      <c r="C109" s="2"/>
      <c r="D109" s="2"/>
      <c r="E109" s="2"/>
      <c r="F109" s="2"/>
      <c r="G109" s="4"/>
      <c r="K109" s="4"/>
      <c r="L109" s="4"/>
    </row>
    <row r="110" spans="3:12" ht="12.75">
      <c r="C110" s="2"/>
      <c r="D110" s="2"/>
      <c r="E110" s="2"/>
      <c r="F110" s="2"/>
      <c r="G110" s="4"/>
      <c r="K110" s="4"/>
      <c r="L110" s="4"/>
    </row>
    <row r="111" spans="3:12" ht="12.75">
      <c r="C111" s="2"/>
      <c r="D111" s="2"/>
      <c r="E111" s="2"/>
      <c r="F111" s="2"/>
      <c r="G111" s="4"/>
      <c r="K111" s="4"/>
      <c r="L111" s="4"/>
    </row>
    <row r="112" spans="3:12" ht="12.75">
      <c r="C112" s="2"/>
      <c r="D112" s="2"/>
      <c r="E112" s="2"/>
      <c r="F112" s="2"/>
      <c r="G112" s="4"/>
      <c r="K112" s="4"/>
      <c r="L112" s="4"/>
    </row>
    <row r="113" spans="3:12" ht="12.75">
      <c r="C113" s="2"/>
      <c r="D113" s="2"/>
      <c r="E113" s="2"/>
      <c r="F113" s="2"/>
      <c r="G113" s="4"/>
      <c r="K113" s="4"/>
      <c r="L113" s="4"/>
    </row>
    <row r="114" spans="3:12" ht="12.75">
      <c r="C114" s="2"/>
      <c r="D114" s="2"/>
      <c r="E114" s="2"/>
      <c r="F114" s="2"/>
      <c r="G114" s="4"/>
      <c r="K114" s="4"/>
      <c r="L114" s="4"/>
    </row>
    <row r="115" spans="3:12" ht="12.75">
      <c r="C115" s="2"/>
      <c r="D115" s="2"/>
      <c r="E115" s="2"/>
      <c r="F115" s="2"/>
      <c r="G115" s="4"/>
      <c r="K115" s="4"/>
      <c r="L115" s="4"/>
    </row>
    <row r="116" spans="3:12" ht="12.75">
      <c r="C116" s="2"/>
      <c r="D116" s="2"/>
      <c r="E116" s="2"/>
      <c r="F116" s="2"/>
      <c r="G116" s="4"/>
      <c r="K116" s="4"/>
      <c r="L116" s="4"/>
    </row>
    <row r="117" spans="3:12" ht="12.75">
      <c r="C117" s="2"/>
      <c r="D117" s="2"/>
      <c r="E117" s="2"/>
      <c r="F117" s="2"/>
      <c r="G117" s="4"/>
      <c r="K117" s="4"/>
      <c r="L117" s="4"/>
    </row>
    <row r="118" spans="3:12" ht="12.75">
      <c r="C118" s="2"/>
      <c r="D118" s="2"/>
      <c r="E118" s="2"/>
      <c r="F118" s="2"/>
      <c r="G118" s="4"/>
      <c r="K118" s="4"/>
      <c r="L118" s="4"/>
    </row>
    <row r="119" spans="3:12" ht="12.75">
      <c r="C119" s="2"/>
      <c r="D119" s="2"/>
      <c r="E119" s="2"/>
      <c r="F119" s="2"/>
      <c r="G119" s="4"/>
      <c r="K119" s="4"/>
      <c r="L119" s="4"/>
    </row>
    <row r="120" spans="3:12" ht="12.75">
      <c r="C120" s="2"/>
      <c r="D120" s="2"/>
      <c r="E120" s="2"/>
      <c r="F120" s="2"/>
      <c r="G120" s="4"/>
      <c r="K120" s="4"/>
      <c r="L120" s="4"/>
    </row>
    <row r="121" spans="3:12" ht="12.75">
      <c r="C121" s="2"/>
      <c r="D121" s="2"/>
      <c r="E121" s="2"/>
      <c r="F121" s="2"/>
      <c r="G121" s="4"/>
      <c r="K121" s="4"/>
      <c r="L121" s="4"/>
    </row>
    <row r="122" spans="3:12" ht="12.75">
      <c r="C122" s="2"/>
      <c r="D122" s="2"/>
      <c r="E122" s="2"/>
      <c r="F122" s="2"/>
      <c r="G122" s="4"/>
      <c r="K122" s="4"/>
      <c r="L122" s="4"/>
    </row>
    <row r="123" spans="5:12" ht="12.75">
      <c r="E123" s="2"/>
      <c r="F123" s="2"/>
      <c r="K123" s="4"/>
      <c r="L123" s="4"/>
    </row>
    <row r="124" spans="5:12" ht="12.75">
      <c r="E124" s="2"/>
      <c r="F124" s="2"/>
      <c r="K124" s="4"/>
      <c r="L124" s="4"/>
    </row>
  </sheetData>
  <mergeCells count="3">
    <mergeCell ref="C2:F2"/>
    <mergeCell ref="G2:L2"/>
    <mergeCell ref="M2:R2"/>
  </mergeCells>
  <printOptions/>
  <pageMargins left="0.75" right="0.75" top="1" bottom="1" header="0.4921259845" footer="0.492125984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O124"/>
  <sheetViews>
    <sheetView workbookViewId="0" topLeftCell="A1">
      <selection activeCell="O2" sqref="O2"/>
    </sheetView>
  </sheetViews>
  <sheetFormatPr defaultColWidth="11.421875" defaultRowHeight="12.75"/>
  <cols>
    <col min="3" max="13" width="7.421875" style="1" customWidth="1"/>
    <col min="14" max="15" width="11.421875" style="1" customWidth="1"/>
  </cols>
  <sheetData>
    <row r="1" spans="7:9" ht="13.5" thickBot="1">
      <c r="G1" s="24"/>
      <c r="H1" s="24"/>
      <c r="I1" s="24"/>
    </row>
    <row r="2" spans="1:13" ht="12.75">
      <c r="A2" s="2" t="s">
        <v>6</v>
      </c>
      <c r="C2" s="48" t="s">
        <v>0</v>
      </c>
      <c r="D2" s="46"/>
      <c r="E2" s="46"/>
      <c r="F2" s="46" t="s">
        <v>1</v>
      </c>
      <c r="G2" s="46"/>
      <c r="H2" s="46"/>
      <c r="I2" s="46"/>
      <c r="J2" s="46" t="s">
        <v>2</v>
      </c>
      <c r="K2" s="46"/>
      <c r="L2" s="46"/>
      <c r="M2" s="47"/>
    </row>
    <row r="3" spans="1:15" ht="13.5" thickBot="1">
      <c r="A3" s="2">
        <f>78/2</f>
        <v>39</v>
      </c>
      <c r="C3" s="16" t="s">
        <v>22</v>
      </c>
      <c r="D3" s="17" t="s">
        <v>23</v>
      </c>
      <c r="E3" s="17" t="s">
        <v>24</v>
      </c>
      <c r="F3" s="17" t="s">
        <v>22</v>
      </c>
      <c r="G3" s="17" t="s">
        <v>23</v>
      </c>
      <c r="H3" s="17" t="s">
        <v>24</v>
      </c>
      <c r="I3" s="17" t="s">
        <v>25</v>
      </c>
      <c r="J3" s="17" t="s">
        <v>22</v>
      </c>
      <c r="K3" s="17" t="s">
        <v>23</v>
      </c>
      <c r="L3" s="17" t="s">
        <v>24</v>
      </c>
      <c r="M3" s="19" t="s">
        <v>25</v>
      </c>
      <c r="N3" s="2"/>
      <c r="O3" s="2"/>
    </row>
    <row r="4" spans="3:15" ht="12.75">
      <c r="C4" s="12">
        <v>0</v>
      </c>
      <c r="D4" s="33">
        <v>-120</v>
      </c>
      <c r="E4" s="33">
        <v>-240</v>
      </c>
      <c r="F4" s="34">
        <f aca="true" t="shared" si="0" ref="F4:F35">COS(C4*PI()/180)/$A$9</f>
        <v>0.7870931752943237</v>
      </c>
      <c r="G4" s="34">
        <f aca="true" t="shared" si="1" ref="G4:G35">COS(D4*PI()/180)/$A$9</f>
        <v>-0.3935465876471616</v>
      </c>
      <c r="H4" s="34">
        <f aca="true" t="shared" si="2" ref="H4:H35">COS(E4*PI()/180)/$A$9</f>
        <v>-0.39354658764716216</v>
      </c>
      <c r="I4" s="34">
        <f aca="true" t="shared" si="3" ref="I4:I51">F4+G4+H4</f>
        <v>0</v>
      </c>
      <c r="J4" s="34">
        <f aca="true" t="shared" si="4" ref="J4:J35">$A$3/$A$6*COS(2*C4*PI()/180)/$A$9</f>
        <v>0.21693734160055564</v>
      </c>
      <c r="K4" s="34">
        <f aca="true" t="shared" si="5" ref="K4:K35">$A$3/$A$6*COS(2*D4*PI()/180)/$A$9</f>
        <v>-0.1084686708002779</v>
      </c>
      <c r="L4" s="34">
        <f aca="true" t="shared" si="6" ref="L4:L35">$A$3/$A$6*COS(2*E4*PI()/180)/$A$9</f>
        <v>-0.10846867080027764</v>
      </c>
      <c r="M4" s="35">
        <f>J4+K4+L4</f>
        <v>0</v>
      </c>
      <c r="N4" s="4"/>
      <c r="O4" s="4"/>
    </row>
    <row r="5" spans="1:15" ht="12.75">
      <c r="A5" s="2" t="s">
        <v>7</v>
      </c>
      <c r="C5" s="20">
        <v>5</v>
      </c>
      <c r="D5" s="28">
        <v>-115</v>
      </c>
      <c r="E5" s="28">
        <v>-235</v>
      </c>
      <c r="F5" s="29">
        <f t="shared" si="0"/>
        <v>0.784098048132402</v>
      </c>
      <c r="G5" s="29">
        <f t="shared" si="1"/>
        <v>-0.3326399495708546</v>
      </c>
      <c r="H5" s="29">
        <f t="shared" si="2"/>
        <v>-0.4514580985615476</v>
      </c>
      <c r="I5" s="29">
        <f t="shared" si="3"/>
        <v>0</v>
      </c>
      <c r="J5" s="29">
        <f t="shared" si="4"/>
        <v>0.213641575926085</v>
      </c>
      <c r="K5" s="29">
        <f t="shared" si="5"/>
        <v>-0.13944463525917344</v>
      </c>
      <c r="L5" s="29">
        <f t="shared" si="6"/>
        <v>-0.07419694066691145</v>
      </c>
      <c r="M5" s="30">
        <f aca="true" t="shared" si="7" ref="M5:M68">J5+K5+L5</f>
        <v>0</v>
      </c>
      <c r="N5" s="4"/>
      <c r="O5" s="4"/>
    </row>
    <row r="6" spans="1:15" ht="12.75">
      <c r="A6" s="2">
        <v>141.5</v>
      </c>
      <c r="C6" s="20">
        <v>10</v>
      </c>
      <c r="D6" s="28">
        <v>-110</v>
      </c>
      <c r="E6" s="28">
        <v>-230</v>
      </c>
      <c r="F6" s="29">
        <f t="shared" si="0"/>
        <v>0.7751354613728468</v>
      </c>
      <c r="G6" s="29">
        <f t="shared" si="1"/>
        <v>-0.26920172062482023</v>
      </c>
      <c r="H6" s="29">
        <f t="shared" si="2"/>
        <v>-0.5059337407480267</v>
      </c>
      <c r="I6" s="29">
        <f t="shared" si="3"/>
        <v>0</v>
      </c>
      <c r="J6" s="29">
        <f t="shared" si="4"/>
        <v>0.20385441907495402</v>
      </c>
      <c r="K6" s="29">
        <f t="shared" si="5"/>
        <v>-0.16618364503810915</v>
      </c>
      <c r="L6" s="29">
        <f t="shared" si="6"/>
        <v>-0.03767077403684474</v>
      </c>
      <c r="M6" s="30">
        <f t="shared" si="7"/>
        <v>1.3877787807814457E-16</v>
      </c>
      <c r="N6" s="4"/>
      <c r="O6" s="4"/>
    </row>
    <row r="7" spans="3:15" ht="12.75">
      <c r="C7" s="20">
        <v>15</v>
      </c>
      <c r="D7" s="28">
        <v>-105</v>
      </c>
      <c r="E7" s="28">
        <v>-225</v>
      </c>
      <c r="F7" s="29">
        <f t="shared" si="0"/>
        <v>0.760273625712656</v>
      </c>
      <c r="G7" s="29">
        <f t="shared" si="1"/>
        <v>-0.2037147040363879</v>
      </c>
      <c r="H7" s="29">
        <f t="shared" si="2"/>
        <v>-0.5565589216762683</v>
      </c>
      <c r="I7" s="29">
        <f t="shared" si="3"/>
        <v>0</v>
      </c>
      <c r="J7" s="29">
        <f t="shared" si="4"/>
        <v>0.1878732488555439</v>
      </c>
      <c r="K7" s="29">
        <f t="shared" si="5"/>
        <v>-0.18787324885554388</v>
      </c>
      <c r="L7" s="29">
        <f t="shared" si="6"/>
        <v>6.644511221847606E-17</v>
      </c>
      <c r="M7" s="30">
        <f t="shared" si="7"/>
        <v>9.420068783410497E-17</v>
      </c>
      <c r="N7" s="4"/>
      <c r="O7" s="4"/>
    </row>
    <row r="8" spans="1:15" ht="12.75">
      <c r="A8" s="2" t="s">
        <v>10</v>
      </c>
      <c r="C8" s="20">
        <v>20</v>
      </c>
      <c r="D8" s="28">
        <v>-100</v>
      </c>
      <c r="E8" s="28">
        <v>-220</v>
      </c>
      <c r="F8" s="29">
        <f t="shared" si="0"/>
        <v>0.7396256486950253</v>
      </c>
      <c r="G8" s="29">
        <f t="shared" si="1"/>
        <v>-0.136677295543937</v>
      </c>
      <c r="H8" s="29">
        <f t="shared" si="2"/>
        <v>-0.6029483531510883</v>
      </c>
      <c r="I8" s="29">
        <f t="shared" si="3"/>
        <v>0</v>
      </c>
      <c r="J8" s="29">
        <f t="shared" si="4"/>
        <v>0.16618364503810915</v>
      </c>
      <c r="K8" s="29">
        <f t="shared" si="5"/>
        <v>-0.20385441907495402</v>
      </c>
      <c r="L8" s="29">
        <f t="shared" si="6"/>
        <v>0.037670774036844865</v>
      </c>
      <c r="M8" s="30">
        <f t="shared" si="7"/>
        <v>0</v>
      </c>
      <c r="N8" s="4"/>
      <c r="O8" s="4"/>
    </row>
    <row r="9" spans="1:15" ht="12.75">
      <c r="A9" s="24">
        <f>COS(C4*PI()/180)+$A$3/$A$6*COS(2*C4*PI()/180)-1/4*($A$3/$A$6)^3*COS(4*C4*PI()/180)+1/14*($A$3/$A$6)^5*COS(6*C4*PI()/180)</f>
        <v>1.2704976124663545</v>
      </c>
      <c r="C9" s="20">
        <v>25</v>
      </c>
      <c r="D9" s="28">
        <v>-95</v>
      </c>
      <c r="E9" s="28">
        <v>-215</v>
      </c>
      <c r="F9" s="29">
        <f t="shared" si="0"/>
        <v>0.7133486738926484</v>
      </c>
      <c r="G9" s="29">
        <f t="shared" si="1"/>
        <v>-0.06859969030438953</v>
      </c>
      <c r="H9" s="29">
        <f t="shared" si="2"/>
        <v>-0.6447489835882592</v>
      </c>
      <c r="I9" s="29">
        <f t="shared" si="3"/>
        <v>0</v>
      </c>
      <c r="J9" s="29">
        <f t="shared" si="4"/>
        <v>0.13944463525917342</v>
      </c>
      <c r="K9" s="29">
        <f t="shared" si="5"/>
        <v>-0.213641575926085</v>
      </c>
      <c r="L9" s="29">
        <f t="shared" si="6"/>
        <v>0.07419694066691176</v>
      </c>
      <c r="M9" s="30">
        <f t="shared" si="7"/>
        <v>1.942890293094024E-16</v>
      </c>
      <c r="N9" s="4"/>
      <c r="O9" s="4"/>
    </row>
    <row r="10" spans="3:15" ht="12.75">
      <c r="C10" s="20">
        <v>30</v>
      </c>
      <c r="D10" s="28">
        <v>-90</v>
      </c>
      <c r="E10" s="28">
        <v>-210</v>
      </c>
      <c r="F10" s="29">
        <f t="shared" si="0"/>
        <v>0.6816426849502426</v>
      </c>
      <c r="G10" s="29">
        <f t="shared" si="1"/>
        <v>4.821529937904801E-17</v>
      </c>
      <c r="H10" s="29">
        <f t="shared" si="2"/>
        <v>-0.6816426849502425</v>
      </c>
      <c r="I10" s="29">
        <f t="shared" si="3"/>
        <v>0</v>
      </c>
      <c r="J10" s="29">
        <f t="shared" si="4"/>
        <v>0.10846867080027785</v>
      </c>
      <c r="K10" s="29">
        <f t="shared" si="5"/>
        <v>-0.21693734160055564</v>
      </c>
      <c r="L10" s="29">
        <f t="shared" si="6"/>
        <v>0.10846867080027775</v>
      </c>
      <c r="M10" s="30">
        <f t="shared" si="7"/>
        <v>0</v>
      </c>
      <c r="N10" s="4"/>
      <c r="O10" s="4"/>
    </row>
    <row r="11" spans="3:15" ht="12.75">
      <c r="C11" s="20">
        <v>35</v>
      </c>
      <c r="D11" s="28">
        <v>-85</v>
      </c>
      <c r="E11" s="28">
        <v>-205</v>
      </c>
      <c r="F11" s="29">
        <f t="shared" si="0"/>
        <v>0.6447489835882589</v>
      </c>
      <c r="G11" s="29">
        <f t="shared" si="1"/>
        <v>0.06859969030438946</v>
      </c>
      <c r="H11" s="29">
        <f t="shared" si="2"/>
        <v>-0.7133486738926486</v>
      </c>
      <c r="I11" s="29">
        <f t="shared" si="3"/>
        <v>0</v>
      </c>
      <c r="J11" s="29">
        <f t="shared" si="4"/>
        <v>0.07419694066691163</v>
      </c>
      <c r="K11" s="29">
        <f t="shared" si="5"/>
        <v>-0.213641575926085</v>
      </c>
      <c r="L11" s="29">
        <f t="shared" si="6"/>
        <v>0.13944463525917347</v>
      </c>
      <c r="M11" s="30">
        <f t="shared" si="7"/>
        <v>0</v>
      </c>
      <c r="N11" s="4"/>
      <c r="O11" s="4"/>
    </row>
    <row r="12" spans="3:15" ht="12.75">
      <c r="C12" s="20">
        <v>40</v>
      </c>
      <c r="D12" s="28">
        <v>-80</v>
      </c>
      <c r="E12" s="28">
        <v>-200</v>
      </c>
      <c r="F12" s="29">
        <f t="shared" si="0"/>
        <v>0.6029483531510883</v>
      </c>
      <c r="G12" s="29">
        <f t="shared" si="1"/>
        <v>0.13667729554393712</v>
      </c>
      <c r="H12" s="29">
        <f t="shared" si="2"/>
        <v>-0.7396256486950253</v>
      </c>
      <c r="I12" s="29">
        <f t="shared" si="3"/>
        <v>0</v>
      </c>
      <c r="J12" s="29">
        <f t="shared" si="4"/>
        <v>0.03767077403684486</v>
      </c>
      <c r="K12" s="29">
        <f t="shared" si="5"/>
        <v>-0.20385441907495397</v>
      </c>
      <c r="L12" s="29">
        <f t="shared" si="6"/>
        <v>0.16618364503810917</v>
      </c>
      <c r="M12" s="30">
        <f t="shared" si="7"/>
        <v>0</v>
      </c>
      <c r="N12" s="4"/>
      <c r="O12" s="4"/>
    </row>
    <row r="13" spans="3:15" ht="12.75">
      <c r="C13" s="20">
        <v>45</v>
      </c>
      <c r="D13" s="28">
        <v>-75</v>
      </c>
      <c r="E13" s="28">
        <v>-195</v>
      </c>
      <c r="F13" s="29">
        <f t="shared" si="0"/>
        <v>0.5565589216762682</v>
      </c>
      <c r="G13" s="29">
        <f t="shared" si="1"/>
        <v>0.2037147040363878</v>
      </c>
      <c r="H13" s="29">
        <f t="shared" si="2"/>
        <v>-0.7602736257126561</v>
      </c>
      <c r="I13" s="29">
        <f t="shared" si="3"/>
        <v>0</v>
      </c>
      <c r="J13" s="29">
        <f t="shared" si="4"/>
        <v>1.3289022443695211E-17</v>
      </c>
      <c r="K13" s="29">
        <f t="shared" si="5"/>
        <v>-0.1878732488555439</v>
      </c>
      <c r="L13" s="29">
        <f t="shared" si="6"/>
        <v>0.18787324885554396</v>
      </c>
      <c r="M13" s="30">
        <f t="shared" si="7"/>
        <v>0</v>
      </c>
      <c r="N13" s="4"/>
      <c r="O13" s="4"/>
    </row>
    <row r="14" spans="3:15" ht="12.75">
      <c r="C14" s="20">
        <v>50</v>
      </c>
      <c r="D14" s="28">
        <v>-70</v>
      </c>
      <c r="E14" s="28">
        <v>-190</v>
      </c>
      <c r="F14" s="29">
        <f t="shared" si="0"/>
        <v>0.5059337407480266</v>
      </c>
      <c r="G14" s="29">
        <f t="shared" si="1"/>
        <v>0.26920172062482034</v>
      </c>
      <c r="H14" s="29">
        <f t="shared" si="2"/>
        <v>-0.7751354613728468</v>
      </c>
      <c r="I14" s="29">
        <f t="shared" si="3"/>
        <v>0</v>
      </c>
      <c r="J14" s="29">
        <f t="shared" si="4"/>
        <v>-0.03767077403684484</v>
      </c>
      <c r="K14" s="29">
        <f t="shared" si="5"/>
        <v>-0.16618364503810912</v>
      </c>
      <c r="L14" s="29">
        <f t="shared" si="6"/>
        <v>0.20385441907495397</v>
      </c>
      <c r="M14" s="30">
        <f t="shared" si="7"/>
        <v>0</v>
      </c>
      <c r="N14" s="4"/>
      <c r="O14" s="4"/>
    </row>
    <row r="15" spans="3:15" ht="12.75">
      <c r="C15" s="20">
        <v>55</v>
      </c>
      <c r="D15" s="28">
        <v>-65</v>
      </c>
      <c r="E15" s="28">
        <v>-185</v>
      </c>
      <c r="F15" s="29">
        <f t="shared" si="0"/>
        <v>0.45145809856154745</v>
      </c>
      <c r="G15" s="29">
        <f t="shared" si="1"/>
        <v>0.3326399495708547</v>
      </c>
      <c r="H15" s="29">
        <f t="shared" si="2"/>
        <v>-0.784098048132402</v>
      </c>
      <c r="I15" s="29">
        <f t="shared" si="3"/>
        <v>0</v>
      </c>
      <c r="J15" s="29">
        <f t="shared" si="4"/>
        <v>-0.07419694066691158</v>
      </c>
      <c r="K15" s="29">
        <f t="shared" si="5"/>
        <v>-0.13944463525917342</v>
      </c>
      <c r="L15" s="29">
        <f t="shared" si="6"/>
        <v>0.21364157592608501</v>
      </c>
      <c r="M15" s="30">
        <f t="shared" si="7"/>
        <v>0</v>
      </c>
      <c r="N15" s="4"/>
      <c r="O15" s="4"/>
    </row>
    <row r="16" spans="3:15" ht="12.75">
      <c r="C16" s="20">
        <v>60</v>
      </c>
      <c r="D16" s="28">
        <v>-60</v>
      </c>
      <c r="E16" s="28">
        <v>-180</v>
      </c>
      <c r="F16" s="29">
        <f t="shared" si="0"/>
        <v>0.3935465876471619</v>
      </c>
      <c r="G16" s="29">
        <f t="shared" si="1"/>
        <v>0.3935465876471619</v>
      </c>
      <c r="H16" s="29">
        <f t="shared" si="2"/>
        <v>-0.7870931752943237</v>
      </c>
      <c r="I16" s="29">
        <f t="shared" si="3"/>
        <v>0</v>
      </c>
      <c r="J16" s="29">
        <f t="shared" si="4"/>
        <v>-0.10846867080027778</v>
      </c>
      <c r="K16" s="29">
        <f t="shared" si="5"/>
        <v>-0.10846867080027778</v>
      </c>
      <c r="L16" s="29">
        <f t="shared" si="6"/>
        <v>0.21693734160055564</v>
      </c>
      <c r="M16" s="30">
        <f t="shared" si="7"/>
        <v>0</v>
      </c>
      <c r="N16" s="4"/>
      <c r="O16" s="4"/>
    </row>
    <row r="17" spans="3:15" ht="12.75">
      <c r="C17" s="20">
        <v>65</v>
      </c>
      <c r="D17" s="28">
        <v>-55</v>
      </c>
      <c r="E17" s="28">
        <v>-175</v>
      </c>
      <c r="F17" s="29">
        <f t="shared" si="0"/>
        <v>0.3326399495708547</v>
      </c>
      <c r="G17" s="29">
        <f t="shared" si="1"/>
        <v>0.45145809856154745</v>
      </c>
      <c r="H17" s="29">
        <f t="shared" si="2"/>
        <v>-0.784098048132402</v>
      </c>
      <c r="I17" s="29">
        <f t="shared" si="3"/>
        <v>0</v>
      </c>
      <c r="J17" s="29">
        <f t="shared" si="4"/>
        <v>-0.13944463525917342</v>
      </c>
      <c r="K17" s="29">
        <f t="shared" si="5"/>
        <v>-0.07419694066691158</v>
      </c>
      <c r="L17" s="29">
        <f t="shared" si="6"/>
        <v>0.213641575926085</v>
      </c>
      <c r="M17" s="30">
        <f t="shared" si="7"/>
        <v>0</v>
      </c>
      <c r="N17" s="4"/>
      <c r="O17" s="4"/>
    </row>
    <row r="18" spans="3:15" ht="12.75">
      <c r="C18" s="20">
        <v>70</v>
      </c>
      <c r="D18" s="28">
        <v>-50</v>
      </c>
      <c r="E18" s="28">
        <v>-170</v>
      </c>
      <c r="F18" s="29">
        <f t="shared" si="0"/>
        <v>0.26920172062482034</v>
      </c>
      <c r="G18" s="29">
        <f t="shared" si="1"/>
        <v>0.5059337407480266</v>
      </c>
      <c r="H18" s="29">
        <f t="shared" si="2"/>
        <v>-0.7751354613728468</v>
      </c>
      <c r="I18" s="29">
        <f t="shared" si="3"/>
        <v>0</v>
      </c>
      <c r="J18" s="29">
        <f t="shared" si="4"/>
        <v>-0.16618364503810912</v>
      </c>
      <c r="K18" s="29">
        <f t="shared" si="5"/>
        <v>-0.03767077403684484</v>
      </c>
      <c r="L18" s="29">
        <f t="shared" si="6"/>
        <v>0.20385441907495402</v>
      </c>
      <c r="M18" s="30">
        <f t="shared" si="7"/>
        <v>0</v>
      </c>
      <c r="N18" s="4"/>
      <c r="O18" s="4"/>
    </row>
    <row r="19" spans="3:15" ht="12.75">
      <c r="C19" s="20">
        <v>75</v>
      </c>
      <c r="D19" s="28">
        <v>-45</v>
      </c>
      <c r="E19" s="28">
        <v>-165</v>
      </c>
      <c r="F19" s="29">
        <f t="shared" si="0"/>
        <v>0.2037147040363878</v>
      </c>
      <c r="G19" s="29">
        <f t="shared" si="1"/>
        <v>0.5565589216762682</v>
      </c>
      <c r="H19" s="29">
        <f t="shared" si="2"/>
        <v>-0.7602736257126559</v>
      </c>
      <c r="I19" s="29">
        <f t="shared" si="3"/>
        <v>0</v>
      </c>
      <c r="J19" s="29">
        <f t="shared" si="4"/>
        <v>-0.1878732488555439</v>
      </c>
      <c r="K19" s="29">
        <f t="shared" si="5"/>
        <v>1.3289022443695211E-17</v>
      </c>
      <c r="L19" s="29">
        <f t="shared" si="6"/>
        <v>0.18787324885554385</v>
      </c>
      <c r="M19" s="30">
        <f t="shared" si="7"/>
        <v>0</v>
      </c>
      <c r="N19" s="4"/>
      <c r="O19" s="4"/>
    </row>
    <row r="20" spans="3:15" ht="12.75">
      <c r="C20" s="20">
        <v>80</v>
      </c>
      <c r="D20" s="28">
        <v>-40</v>
      </c>
      <c r="E20" s="28">
        <v>-160</v>
      </c>
      <c r="F20" s="29">
        <f t="shared" si="0"/>
        <v>0.13667729554393712</v>
      </c>
      <c r="G20" s="29">
        <f t="shared" si="1"/>
        <v>0.6029483531510883</v>
      </c>
      <c r="H20" s="29">
        <f t="shared" si="2"/>
        <v>-0.7396256486950253</v>
      </c>
      <c r="I20" s="29">
        <f t="shared" si="3"/>
        <v>0</v>
      </c>
      <c r="J20" s="29">
        <f t="shared" si="4"/>
        <v>-0.20385441907495397</v>
      </c>
      <c r="K20" s="29">
        <f t="shared" si="5"/>
        <v>0.03767077403684486</v>
      </c>
      <c r="L20" s="29">
        <f t="shared" si="6"/>
        <v>0.1661836450381091</v>
      </c>
      <c r="M20" s="30">
        <f t="shared" si="7"/>
        <v>0</v>
      </c>
      <c r="N20" s="4"/>
      <c r="O20" s="4"/>
    </row>
    <row r="21" spans="3:15" ht="12.75">
      <c r="C21" s="20">
        <v>85</v>
      </c>
      <c r="D21" s="28">
        <v>-35</v>
      </c>
      <c r="E21" s="28">
        <v>-155</v>
      </c>
      <c r="F21" s="29">
        <f t="shared" si="0"/>
        <v>0.06859969030438946</v>
      </c>
      <c r="G21" s="29">
        <f t="shared" si="1"/>
        <v>0.6447489835882589</v>
      </c>
      <c r="H21" s="29">
        <f t="shared" si="2"/>
        <v>-0.7133486738926484</v>
      </c>
      <c r="I21" s="29">
        <f t="shared" si="3"/>
        <v>0</v>
      </c>
      <c r="J21" s="29">
        <f t="shared" si="4"/>
        <v>-0.213641575926085</v>
      </c>
      <c r="K21" s="29">
        <f t="shared" si="5"/>
        <v>0.07419694066691163</v>
      </c>
      <c r="L21" s="29">
        <f t="shared" si="6"/>
        <v>0.1394446352591734</v>
      </c>
      <c r="M21" s="30">
        <f t="shared" si="7"/>
        <v>0</v>
      </c>
      <c r="N21" s="4"/>
      <c r="O21" s="4"/>
    </row>
    <row r="22" spans="3:15" ht="12.75">
      <c r="C22" s="20">
        <v>90</v>
      </c>
      <c r="D22" s="28">
        <v>-30</v>
      </c>
      <c r="E22" s="28">
        <v>-150</v>
      </c>
      <c r="F22" s="29">
        <f t="shared" si="0"/>
        <v>4.821529937904801E-17</v>
      </c>
      <c r="G22" s="29">
        <f t="shared" si="1"/>
        <v>0.6816426849502426</v>
      </c>
      <c r="H22" s="29">
        <f t="shared" si="2"/>
        <v>-0.6816426849502426</v>
      </c>
      <c r="I22" s="29">
        <f t="shared" si="3"/>
        <v>0</v>
      </c>
      <c r="J22" s="29">
        <f t="shared" si="4"/>
        <v>-0.21693734160055564</v>
      </c>
      <c r="K22" s="29">
        <f t="shared" si="5"/>
        <v>0.10846867080027785</v>
      </c>
      <c r="L22" s="29">
        <f t="shared" si="6"/>
        <v>0.10846867080027785</v>
      </c>
      <c r="M22" s="30">
        <f t="shared" si="7"/>
        <v>0</v>
      </c>
      <c r="N22" s="4"/>
      <c r="O22" s="4"/>
    </row>
    <row r="23" spans="3:15" ht="12.75">
      <c r="C23" s="20">
        <v>95</v>
      </c>
      <c r="D23" s="28">
        <v>-25</v>
      </c>
      <c r="E23" s="28">
        <v>-145</v>
      </c>
      <c r="F23" s="29">
        <f t="shared" si="0"/>
        <v>-0.06859969030438953</v>
      </c>
      <c r="G23" s="29">
        <f t="shared" si="1"/>
        <v>0.7133486738926484</v>
      </c>
      <c r="H23" s="29">
        <f t="shared" si="2"/>
        <v>-0.6447489835882588</v>
      </c>
      <c r="I23" s="29">
        <f t="shared" si="3"/>
        <v>0</v>
      </c>
      <c r="J23" s="29">
        <f t="shared" si="4"/>
        <v>-0.213641575926085</v>
      </c>
      <c r="K23" s="29">
        <f t="shared" si="5"/>
        <v>0.13944463525917342</v>
      </c>
      <c r="L23" s="29">
        <f t="shared" si="6"/>
        <v>0.07419694066691147</v>
      </c>
      <c r="M23" s="30">
        <f t="shared" si="7"/>
        <v>0</v>
      </c>
      <c r="N23" s="4"/>
      <c r="O23" s="4"/>
    </row>
    <row r="24" spans="3:15" ht="12.75">
      <c r="C24" s="20">
        <v>100</v>
      </c>
      <c r="D24" s="28">
        <v>-20</v>
      </c>
      <c r="E24" s="28">
        <v>-140</v>
      </c>
      <c r="F24" s="29">
        <f t="shared" si="0"/>
        <v>-0.136677295543937</v>
      </c>
      <c r="G24" s="29">
        <f t="shared" si="1"/>
        <v>0.7396256486950253</v>
      </c>
      <c r="H24" s="29">
        <f t="shared" si="2"/>
        <v>-0.6029483531510882</v>
      </c>
      <c r="I24" s="29">
        <f t="shared" si="3"/>
        <v>0</v>
      </c>
      <c r="J24" s="29">
        <f t="shared" si="4"/>
        <v>-0.20385441907495402</v>
      </c>
      <c r="K24" s="29">
        <f t="shared" si="5"/>
        <v>0.16618364503810915</v>
      </c>
      <c r="L24" s="29">
        <f t="shared" si="6"/>
        <v>0.03767077403684477</v>
      </c>
      <c r="M24" s="30">
        <f t="shared" si="7"/>
        <v>-1.1102230246251565E-16</v>
      </c>
      <c r="N24" s="4"/>
      <c r="O24" s="4"/>
    </row>
    <row r="25" spans="3:15" ht="12.75">
      <c r="C25" s="20">
        <v>105</v>
      </c>
      <c r="D25" s="28">
        <v>-15</v>
      </c>
      <c r="E25" s="28">
        <v>-135</v>
      </c>
      <c r="F25" s="29">
        <f t="shared" si="0"/>
        <v>-0.2037147040363879</v>
      </c>
      <c r="G25" s="29">
        <f t="shared" si="1"/>
        <v>0.760273625712656</v>
      </c>
      <c r="H25" s="29">
        <f t="shared" si="2"/>
        <v>-0.5565589216762681</v>
      </c>
      <c r="I25" s="29">
        <f t="shared" si="3"/>
        <v>0</v>
      </c>
      <c r="J25" s="29">
        <f t="shared" si="4"/>
        <v>-0.18787324885554388</v>
      </c>
      <c r="K25" s="29">
        <f t="shared" si="5"/>
        <v>0.1878732488555439</v>
      </c>
      <c r="L25" s="29">
        <f t="shared" si="6"/>
        <v>-3.986706733108564E-17</v>
      </c>
      <c r="M25" s="30">
        <f t="shared" si="7"/>
        <v>-1.2111491715456725E-17</v>
      </c>
      <c r="N25" s="4"/>
      <c r="O25" s="4"/>
    </row>
    <row r="26" spans="3:15" ht="12.75">
      <c r="C26" s="20">
        <v>110</v>
      </c>
      <c r="D26" s="28">
        <v>-10</v>
      </c>
      <c r="E26" s="28">
        <v>-130</v>
      </c>
      <c r="F26" s="29">
        <f t="shared" si="0"/>
        <v>-0.26920172062482023</v>
      </c>
      <c r="G26" s="29">
        <f t="shared" si="1"/>
        <v>0.7751354613728468</v>
      </c>
      <c r="H26" s="29">
        <f t="shared" si="2"/>
        <v>-0.5059337407480266</v>
      </c>
      <c r="I26" s="29">
        <f t="shared" si="3"/>
        <v>0</v>
      </c>
      <c r="J26" s="29">
        <f t="shared" si="4"/>
        <v>-0.16618364503810915</v>
      </c>
      <c r="K26" s="29">
        <f t="shared" si="5"/>
        <v>0.20385441907495402</v>
      </c>
      <c r="L26" s="29">
        <f t="shared" si="6"/>
        <v>-0.037670774036844844</v>
      </c>
      <c r="M26" s="30">
        <f t="shared" si="7"/>
        <v>0</v>
      </c>
      <c r="N26" s="4"/>
      <c r="O26" s="4"/>
    </row>
    <row r="27" spans="3:15" ht="12.75">
      <c r="C27" s="20">
        <v>115</v>
      </c>
      <c r="D27" s="28">
        <v>-5</v>
      </c>
      <c r="E27" s="28">
        <v>-125</v>
      </c>
      <c r="F27" s="29">
        <f t="shared" si="0"/>
        <v>-0.3326399495708546</v>
      </c>
      <c r="G27" s="29">
        <f t="shared" si="1"/>
        <v>0.784098048132402</v>
      </c>
      <c r="H27" s="29">
        <f t="shared" si="2"/>
        <v>-0.45145809856154717</v>
      </c>
      <c r="I27" s="29">
        <f t="shared" si="3"/>
        <v>0</v>
      </c>
      <c r="J27" s="29">
        <f t="shared" si="4"/>
        <v>-0.13944463525917344</v>
      </c>
      <c r="K27" s="29">
        <f t="shared" si="5"/>
        <v>0.213641575926085</v>
      </c>
      <c r="L27" s="29">
        <f t="shared" si="6"/>
        <v>-0.07419694066691174</v>
      </c>
      <c r="M27" s="30">
        <f t="shared" si="7"/>
        <v>-1.942890293094024E-16</v>
      </c>
      <c r="N27" s="4"/>
      <c r="O27" s="4"/>
    </row>
    <row r="28" spans="3:15" ht="12.75">
      <c r="C28" s="20">
        <v>120</v>
      </c>
      <c r="D28" s="28">
        <v>0</v>
      </c>
      <c r="E28" s="28">
        <v>-120</v>
      </c>
      <c r="F28" s="29">
        <f t="shared" si="0"/>
        <v>-0.3935465876471616</v>
      </c>
      <c r="G28" s="29">
        <f t="shared" si="1"/>
        <v>0.7870931752943237</v>
      </c>
      <c r="H28" s="29">
        <f t="shared" si="2"/>
        <v>-0.3935465876471616</v>
      </c>
      <c r="I28" s="29">
        <f t="shared" si="3"/>
        <v>4.440892098500626E-16</v>
      </c>
      <c r="J28" s="29">
        <f t="shared" si="4"/>
        <v>-0.1084686708002779</v>
      </c>
      <c r="K28" s="29">
        <f t="shared" si="5"/>
        <v>0.21693734160055564</v>
      </c>
      <c r="L28" s="29">
        <f t="shared" si="6"/>
        <v>-0.1084686708002779</v>
      </c>
      <c r="M28" s="30">
        <f t="shared" si="7"/>
        <v>-1.6653345369377348E-16</v>
      </c>
      <c r="N28" s="4"/>
      <c r="O28" s="4"/>
    </row>
    <row r="29" spans="3:15" ht="12.75">
      <c r="C29" s="20">
        <v>125</v>
      </c>
      <c r="D29" s="28">
        <v>5</v>
      </c>
      <c r="E29" s="28">
        <v>-115</v>
      </c>
      <c r="F29" s="29">
        <f t="shared" si="0"/>
        <v>-0.45145809856154717</v>
      </c>
      <c r="G29" s="29">
        <f t="shared" si="1"/>
        <v>0.784098048132402</v>
      </c>
      <c r="H29" s="29">
        <f t="shared" si="2"/>
        <v>-0.3326399495708546</v>
      </c>
      <c r="I29" s="29">
        <f t="shared" si="3"/>
        <v>0</v>
      </c>
      <c r="J29" s="29">
        <f t="shared" si="4"/>
        <v>-0.07419694066691174</v>
      </c>
      <c r="K29" s="29">
        <f t="shared" si="5"/>
        <v>0.213641575926085</v>
      </c>
      <c r="L29" s="29">
        <f t="shared" si="6"/>
        <v>-0.13944463525917344</v>
      </c>
      <c r="M29" s="30">
        <f t="shared" si="7"/>
        <v>0</v>
      </c>
      <c r="N29" s="4"/>
      <c r="O29" s="4"/>
    </row>
    <row r="30" spans="3:15" ht="12.75">
      <c r="C30" s="20">
        <v>130</v>
      </c>
      <c r="D30" s="28">
        <v>10</v>
      </c>
      <c r="E30" s="28">
        <v>-110</v>
      </c>
      <c r="F30" s="29">
        <f t="shared" si="0"/>
        <v>-0.5059337407480266</v>
      </c>
      <c r="G30" s="29">
        <f t="shared" si="1"/>
        <v>0.7751354613728468</v>
      </c>
      <c r="H30" s="29">
        <f t="shared" si="2"/>
        <v>-0.26920172062482023</v>
      </c>
      <c r="I30" s="29">
        <f t="shared" si="3"/>
        <v>0</v>
      </c>
      <c r="J30" s="29">
        <f t="shared" si="4"/>
        <v>-0.037670774036844844</v>
      </c>
      <c r="K30" s="29">
        <f t="shared" si="5"/>
        <v>0.20385441907495402</v>
      </c>
      <c r="L30" s="29">
        <f t="shared" si="6"/>
        <v>-0.16618364503810915</v>
      </c>
      <c r="M30" s="30">
        <f t="shared" si="7"/>
        <v>0</v>
      </c>
      <c r="N30" s="4"/>
      <c r="O30" s="4"/>
    </row>
    <row r="31" spans="3:15" ht="12.75">
      <c r="C31" s="20">
        <v>135</v>
      </c>
      <c r="D31" s="28">
        <v>15</v>
      </c>
      <c r="E31" s="28">
        <v>-105</v>
      </c>
      <c r="F31" s="29">
        <f t="shared" si="0"/>
        <v>-0.5565589216762681</v>
      </c>
      <c r="G31" s="29">
        <f t="shared" si="1"/>
        <v>0.760273625712656</v>
      </c>
      <c r="H31" s="29">
        <f t="shared" si="2"/>
        <v>-0.2037147040363879</v>
      </c>
      <c r="I31" s="29">
        <f t="shared" si="3"/>
        <v>0</v>
      </c>
      <c r="J31" s="29">
        <f t="shared" si="4"/>
        <v>-3.986706733108564E-17</v>
      </c>
      <c r="K31" s="29">
        <f t="shared" si="5"/>
        <v>0.1878732488555439</v>
      </c>
      <c r="L31" s="29">
        <f t="shared" si="6"/>
        <v>-0.18787324885554388</v>
      </c>
      <c r="M31" s="30">
        <f t="shared" si="7"/>
        <v>0</v>
      </c>
      <c r="N31" s="4"/>
      <c r="O31" s="4"/>
    </row>
    <row r="32" spans="3:15" ht="12.75">
      <c r="C32" s="20">
        <v>140</v>
      </c>
      <c r="D32" s="28">
        <v>20</v>
      </c>
      <c r="E32" s="28">
        <v>-100</v>
      </c>
      <c r="F32" s="29">
        <f t="shared" si="0"/>
        <v>-0.6029483531510882</v>
      </c>
      <c r="G32" s="29">
        <f t="shared" si="1"/>
        <v>0.7396256486950253</v>
      </c>
      <c r="H32" s="29">
        <f t="shared" si="2"/>
        <v>-0.136677295543937</v>
      </c>
      <c r="I32" s="29">
        <f t="shared" si="3"/>
        <v>0</v>
      </c>
      <c r="J32" s="29">
        <f t="shared" si="4"/>
        <v>0.03767077403684477</v>
      </c>
      <c r="K32" s="29">
        <f t="shared" si="5"/>
        <v>0.16618364503810915</v>
      </c>
      <c r="L32" s="29">
        <f t="shared" si="6"/>
        <v>-0.20385441907495402</v>
      </c>
      <c r="M32" s="30">
        <f t="shared" si="7"/>
        <v>0</v>
      </c>
      <c r="N32" s="4"/>
      <c r="O32" s="4"/>
    </row>
    <row r="33" spans="3:15" ht="12.75">
      <c r="C33" s="20">
        <v>145</v>
      </c>
      <c r="D33" s="28">
        <v>25</v>
      </c>
      <c r="E33" s="28">
        <v>-95</v>
      </c>
      <c r="F33" s="29">
        <f t="shared" si="0"/>
        <v>-0.6447489835882588</v>
      </c>
      <c r="G33" s="29">
        <f t="shared" si="1"/>
        <v>0.7133486738926484</v>
      </c>
      <c r="H33" s="29">
        <f t="shared" si="2"/>
        <v>-0.06859969030438953</v>
      </c>
      <c r="I33" s="29">
        <f t="shared" si="3"/>
        <v>0</v>
      </c>
      <c r="J33" s="29">
        <f t="shared" si="4"/>
        <v>0.07419694066691147</v>
      </c>
      <c r="K33" s="29">
        <f t="shared" si="5"/>
        <v>0.13944463525917342</v>
      </c>
      <c r="L33" s="29">
        <f t="shared" si="6"/>
        <v>-0.213641575926085</v>
      </c>
      <c r="M33" s="30">
        <f t="shared" si="7"/>
        <v>0</v>
      </c>
      <c r="N33" s="4"/>
      <c r="O33" s="4"/>
    </row>
    <row r="34" spans="3:15" ht="12.75">
      <c r="C34" s="20">
        <v>150</v>
      </c>
      <c r="D34" s="28">
        <v>30</v>
      </c>
      <c r="E34" s="28">
        <v>-90</v>
      </c>
      <c r="F34" s="29">
        <f t="shared" si="0"/>
        <v>-0.6816426849502426</v>
      </c>
      <c r="G34" s="29">
        <f t="shared" si="1"/>
        <v>0.6816426849502426</v>
      </c>
      <c r="H34" s="29">
        <f t="shared" si="2"/>
        <v>4.821529937904801E-17</v>
      </c>
      <c r="I34" s="29">
        <f t="shared" si="3"/>
        <v>4.821529937904801E-17</v>
      </c>
      <c r="J34" s="29">
        <f t="shared" si="4"/>
        <v>0.10846867080027785</v>
      </c>
      <c r="K34" s="29">
        <f t="shared" si="5"/>
        <v>0.10846867080027785</v>
      </c>
      <c r="L34" s="29">
        <f t="shared" si="6"/>
        <v>-0.21693734160055564</v>
      </c>
      <c r="M34" s="30">
        <f t="shared" si="7"/>
        <v>0</v>
      </c>
      <c r="N34" s="4"/>
      <c r="O34" s="4"/>
    </row>
    <row r="35" spans="3:15" ht="12.75">
      <c r="C35" s="20">
        <v>155</v>
      </c>
      <c r="D35" s="28">
        <v>35</v>
      </c>
      <c r="E35" s="28">
        <v>-85</v>
      </c>
      <c r="F35" s="29">
        <f t="shared" si="0"/>
        <v>-0.7133486738926484</v>
      </c>
      <c r="G35" s="29">
        <f t="shared" si="1"/>
        <v>0.6447489835882589</v>
      </c>
      <c r="H35" s="29">
        <f t="shared" si="2"/>
        <v>0.06859969030438946</v>
      </c>
      <c r="I35" s="29">
        <f t="shared" si="3"/>
        <v>0</v>
      </c>
      <c r="J35" s="29">
        <f t="shared" si="4"/>
        <v>0.1394446352591734</v>
      </c>
      <c r="K35" s="29">
        <f t="shared" si="5"/>
        <v>0.07419694066691163</v>
      </c>
      <c r="L35" s="29">
        <f t="shared" si="6"/>
        <v>-0.213641575926085</v>
      </c>
      <c r="M35" s="30">
        <f t="shared" si="7"/>
        <v>0</v>
      </c>
      <c r="N35" s="4"/>
      <c r="O35" s="4"/>
    </row>
    <row r="36" spans="3:15" ht="12.75">
      <c r="C36" s="20">
        <v>160</v>
      </c>
      <c r="D36" s="28">
        <v>40</v>
      </c>
      <c r="E36" s="28">
        <v>-80</v>
      </c>
      <c r="F36" s="29">
        <f aca="true" t="shared" si="8" ref="F36:F67">COS(C36*PI()/180)/$A$9</f>
        <v>-0.7396256486950253</v>
      </c>
      <c r="G36" s="29">
        <f aca="true" t="shared" si="9" ref="G36:G67">COS(D36*PI()/180)/$A$9</f>
        <v>0.6029483531510883</v>
      </c>
      <c r="H36" s="29">
        <f aca="true" t="shared" si="10" ref="H36:H67">COS(E36*PI()/180)/$A$9</f>
        <v>0.13667729554393712</v>
      </c>
      <c r="I36" s="29">
        <f t="shared" si="3"/>
        <v>0</v>
      </c>
      <c r="J36" s="29">
        <f aca="true" t="shared" si="11" ref="J36:J67">$A$3/$A$6*COS(2*C36*PI()/180)/$A$9</f>
        <v>0.1661836450381091</v>
      </c>
      <c r="K36" s="29">
        <f aca="true" t="shared" si="12" ref="K36:K67">$A$3/$A$6*COS(2*D36*PI()/180)/$A$9</f>
        <v>0.03767077403684486</v>
      </c>
      <c r="L36" s="29">
        <f aca="true" t="shared" si="13" ref="L36:L67">$A$3/$A$6*COS(2*E36*PI()/180)/$A$9</f>
        <v>-0.20385441907495397</v>
      </c>
      <c r="M36" s="30">
        <f t="shared" si="7"/>
        <v>0</v>
      </c>
      <c r="N36" s="4"/>
      <c r="O36" s="4"/>
    </row>
    <row r="37" spans="3:15" ht="12.75">
      <c r="C37" s="20">
        <v>165</v>
      </c>
      <c r="D37" s="28">
        <v>45</v>
      </c>
      <c r="E37" s="28">
        <v>-75</v>
      </c>
      <c r="F37" s="29">
        <f t="shared" si="8"/>
        <v>-0.7602736257126559</v>
      </c>
      <c r="G37" s="29">
        <f t="shared" si="9"/>
        <v>0.5565589216762682</v>
      </c>
      <c r="H37" s="29">
        <f t="shared" si="10"/>
        <v>0.2037147040363878</v>
      </c>
      <c r="I37" s="29">
        <f t="shared" si="3"/>
        <v>0</v>
      </c>
      <c r="J37" s="29">
        <f t="shared" si="11"/>
        <v>0.18787324885554385</v>
      </c>
      <c r="K37" s="29">
        <f t="shared" si="12"/>
        <v>1.3289022443695211E-17</v>
      </c>
      <c r="L37" s="29">
        <f t="shared" si="13"/>
        <v>-0.1878732488555439</v>
      </c>
      <c r="M37" s="30">
        <f t="shared" si="7"/>
        <v>0</v>
      </c>
      <c r="N37" s="4"/>
      <c r="O37" s="4"/>
    </row>
    <row r="38" spans="3:15" ht="12.75">
      <c r="C38" s="20">
        <v>170</v>
      </c>
      <c r="D38" s="28">
        <v>50</v>
      </c>
      <c r="E38" s="28">
        <v>-70</v>
      </c>
      <c r="F38" s="29">
        <f t="shared" si="8"/>
        <v>-0.7751354613728468</v>
      </c>
      <c r="G38" s="29">
        <f t="shared" si="9"/>
        <v>0.5059337407480266</v>
      </c>
      <c r="H38" s="29">
        <f t="shared" si="10"/>
        <v>0.26920172062482034</v>
      </c>
      <c r="I38" s="29">
        <f t="shared" si="3"/>
        <v>0</v>
      </c>
      <c r="J38" s="29">
        <f t="shared" si="11"/>
        <v>0.20385441907495402</v>
      </c>
      <c r="K38" s="29">
        <f t="shared" si="12"/>
        <v>-0.03767077403684484</v>
      </c>
      <c r="L38" s="29">
        <f t="shared" si="13"/>
        <v>-0.16618364503810912</v>
      </c>
      <c r="M38" s="30">
        <f t="shared" si="7"/>
        <v>0</v>
      </c>
      <c r="N38" s="4"/>
      <c r="O38" s="4"/>
    </row>
    <row r="39" spans="3:15" ht="12.75">
      <c r="C39" s="20">
        <v>175</v>
      </c>
      <c r="D39" s="28">
        <v>55</v>
      </c>
      <c r="E39" s="28">
        <v>-65</v>
      </c>
      <c r="F39" s="29">
        <f t="shared" si="8"/>
        <v>-0.784098048132402</v>
      </c>
      <c r="G39" s="29">
        <f t="shared" si="9"/>
        <v>0.45145809856154745</v>
      </c>
      <c r="H39" s="29">
        <f t="shared" si="10"/>
        <v>0.3326399495708547</v>
      </c>
      <c r="I39" s="29">
        <f t="shared" si="3"/>
        <v>0</v>
      </c>
      <c r="J39" s="29">
        <f t="shared" si="11"/>
        <v>0.213641575926085</v>
      </c>
      <c r="K39" s="29">
        <f t="shared" si="12"/>
        <v>-0.07419694066691158</v>
      </c>
      <c r="L39" s="29">
        <f t="shared" si="13"/>
        <v>-0.13944463525917342</v>
      </c>
      <c r="M39" s="30">
        <f t="shared" si="7"/>
        <v>0</v>
      </c>
      <c r="N39" s="4"/>
      <c r="O39" s="4"/>
    </row>
    <row r="40" spans="3:15" ht="12.75">
      <c r="C40" s="20">
        <v>180</v>
      </c>
      <c r="D40" s="28">
        <v>60</v>
      </c>
      <c r="E40" s="28">
        <v>-60</v>
      </c>
      <c r="F40" s="29">
        <f t="shared" si="8"/>
        <v>-0.7870931752943237</v>
      </c>
      <c r="G40" s="29">
        <f t="shared" si="9"/>
        <v>0.3935465876471619</v>
      </c>
      <c r="H40" s="29">
        <f t="shared" si="10"/>
        <v>0.3935465876471619</v>
      </c>
      <c r="I40" s="29">
        <f t="shared" si="3"/>
        <v>0</v>
      </c>
      <c r="J40" s="29">
        <f t="shared" si="11"/>
        <v>0.21693734160055564</v>
      </c>
      <c r="K40" s="29">
        <f t="shared" si="12"/>
        <v>-0.10846867080027778</v>
      </c>
      <c r="L40" s="29">
        <f t="shared" si="13"/>
        <v>-0.10846867080027778</v>
      </c>
      <c r="M40" s="30">
        <f t="shared" si="7"/>
        <v>0</v>
      </c>
      <c r="N40" s="4"/>
      <c r="O40" s="4"/>
    </row>
    <row r="41" spans="3:15" ht="12.75">
      <c r="C41" s="20">
        <v>185</v>
      </c>
      <c r="D41" s="28">
        <v>65</v>
      </c>
      <c r="E41" s="28">
        <v>-55</v>
      </c>
      <c r="F41" s="29">
        <f t="shared" si="8"/>
        <v>-0.784098048132402</v>
      </c>
      <c r="G41" s="29">
        <f t="shared" si="9"/>
        <v>0.3326399495708547</v>
      </c>
      <c r="H41" s="29">
        <f t="shared" si="10"/>
        <v>0.45145809856154745</v>
      </c>
      <c r="I41" s="29">
        <f t="shared" si="3"/>
        <v>0</v>
      </c>
      <c r="J41" s="29">
        <f t="shared" si="11"/>
        <v>0.21364157592608501</v>
      </c>
      <c r="K41" s="29">
        <f t="shared" si="12"/>
        <v>-0.13944463525917342</v>
      </c>
      <c r="L41" s="29">
        <f t="shared" si="13"/>
        <v>-0.07419694066691158</v>
      </c>
      <c r="M41" s="30">
        <f t="shared" si="7"/>
        <v>0</v>
      </c>
      <c r="N41" s="4"/>
      <c r="O41" s="4"/>
    </row>
    <row r="42" spans="3:15" ht="12.75">
      <c r="C42" s="20">
        <v>190</v>
      </c>
      <c r="D42" s="28">
        <v>70</v>
      </c>
      <c r="E42" s="28">
        <v>-50</v>
      </c>
      <c r="F42" s="29">
        <f t="shared" si="8"/>
        <v>-0.7751354613728468</v>
      </c>
      <c r="G42" s="29">
        <f t="shared" si="9"/>
        <v>0.26920172062482034</v>
      </c>
      <c r="H42" s="29">
        <f t="shared" si="10"/>
        <v>0.5059337407480266</v>
      </c>
      <c r="I42" s="29">
        <f t="shared" si="3"/>
        <v>0</v>
      </c>
      <c r="J42" s="29">
        <f t="shared" si="11"/>
        <v>0.20385441907495397</v>
      </c>
      <c r="K42" s="29">
        <f t="shared" si="12"/>
        <v>-0.16618364503810912</v>
      </c>
      <c r="L42" s="29">
        <f t="shared" si="13"/>
        <v>-0.03767077403684484</v>
      </c>
      <c r="M42" s="30">
        <f t="shared" si="7"/>
        <v>0</v>
      </c>
      <c r="N42" s="4"/>
      <c r="O42" s="4"/>
    </row>
    <row r="43" spans="3:15" ht="12.75">
      <c r="C43" s="20">
        <v>195</v>
      </c>
      <c r="D43" s="28">
        <v>75</v>
      </c>
      <c r="E43" s="28">
        <v>-45</v>
      </c>
      <c r="F43" s="29">
        <f t="shared" si="8"/>
        <v>-0.7602736257126561</v>
      </c>
      <c r="G43" s="29">
        <f t="shared" si="9"/>
        <v>0.2037147040363878</v>
      </c>
      <c r="H43" s="29">
        <f t="shared" si="10"/>
        <v>0.5565589216762682</v>
      </c>
      <c r="I43" s="29">
        <f t="shared" si="3"/>
        <v>0</v>
      </c>
      <c r="J43" s="29">
        <f t="shared" si="11"/>
        <v>0.18787324885554396</v>
      </c>
      <c r="K43" s="29">
        <f t="shared" si="12"/>
        <v>-0.1878732488555439</v>
      </c>
      <c r="L43" s="29">
        <f t="shared" si="13"/>
        <v>1.3289022443695211E-17</v>
      </c>
      <c r="M43" s="30">
        <f t="shared" si="7"/>
        <v>6.880017367495303E-17</v>
      </c>
      <c r="N43" s="4"/>
      <c r="O43" s="4"/>
    </row>
    <row r="44" spans="3:15" ht="12.75">
      <c r="C44" s="20">
        <v>200</v>
      </c>
      <c r="D44" s="28">
        <v>80</v>
      </c>
      <c r="E44" s="28">
        <v>-40</v>
      </c>
      <c r="F44" s="29">
        <f t="shared" si="8"/>
        <v>-0.7396256486950253</v>
      </c>
      <c r="G44" s="29">
        <f t="shared" si="9"/>
        <v>0.13667729554393712</v>
      </c>
      <c r="H44" s="29">
        <f t="shared" si="10"/>
        <v>0.6029483531510883</v>
      </c>
      <c r="I44" s="29">
        <f t="shared" si="3"/>
        <v>0</v>
      </c>
      <c r="J44" s="29">
        <f t="shared" si="11"/>
        <v>0.16618364503810917</v>
      </c>
      <c r="K44" s="29">
        <f t="shared" si="12"/>
        <v>-0.20385441907495397</v>
      </c>
      <c r="L44" s="29">
        <f t="shared" si="13"/>
        <v>0.03767077403684486</v>
      </c>
      <c r="M44" s="30">
        <f t="shared" si="7"/>
        <v>6.245004513516506E-17</v>
      </c>
      <c r="N44" s="4"/>
      <c r="O44" s="4"/>
    </row>
    <row r="45" spans="3:15" ht="12.75">
      <c r="C45" s="20">
        <v>205</v>
      </c>
      <c r="D45" s="28">
        <v>85</v>
      </c>
      <c r="E45" s="28">
        <v>-35</v>
      </c>
      <c r="F45" s="29">
        <f t="shared" si="8"/>
        <v>-0.7133486738926486</v>
      </c>
      <c r="G45" s="29">
        <f t="shared" si="9"/>
        <v>0.06859969030438946</v>
      </c>
      <c r="H45" s="29">
        <f t="shared" si="10"/>
        <v>0.6447489835882589</v>
      </c>
      <c r="I45" s="29">
        <f t="shared" si="3"/>
        <v>0</v>
      </c>
      <c r="J45" s="29">
        <f t="shared" si="11"/>
        <v>0.13944463525917347</v>
      </c>
      <c r="K45" s="29">
        <f t="shared" si="12"/>
        <v>-0.213641575926085</v>
      </c>
      <c r="L45" s="29">
        <f t="shared" si="13"/>
        <v>0.07419694066691163</v>
      </c>
      <c r="M45" s="30">
        <f t="shared" si="7"/>
        <v>1.1102230246251565E-16</v>
      </c>
      <c r="N45" s="4"/>
      <c r="O45" s="4"/>
    </row>
    <row r="46" spans="3:15" ht="12.75">
      <c r="C46" s="20">
        <v>210</v>
      </c>
      <c r="D46" s="28">
        <v>90</v>
      </c>
      <c r="E46" s="28">
        <v>-30</v>
      </c>
      <c r="F46" s="29">
        <f t="shared" si="8"/>
        <v>-0.6816426849502425</v>
      </c>
      <c r="G46" s="29">
        <f t="shared" si="9"/>
        <v>4.821529937904801E-17</v>
      </c>
      <c r="H46" s="29">
        <f t="shared" si="10"/>
        <v>0.6816426849502426</v>
      </c>
      <c r="I46" s="29">
        <f t="shared" si="3"/>
        <v>0</v>
      </c>
      <c r="J46" s="29">
        <f t="shared" si="11"/>
        <v>0.10846867080027775</v>
      </c>
      <c r="K46" s="29">
        <f t="shared" si="12"/>
        <v>-0.21693734160055564</v>
      </c>
      <c r="L46" s="29">
        <f t="shared" si="13"/>
        <v>0.10846867080027785</v>
      </c>
      <c r="M46" s="30">
        <f t="shared" si="7"/>
        <v>0</v>
      </c>
      <c r="N46" s="4"/>
      <c r="O46" s="4"/>
    </row>
    <row r="47" spans="3:15" ht="12.75">
      <c r="C47" s="20">
        <v>215</v>
      </c>
      <c r="D47" s="28">
        <v>95</v>
      </c>
      <c r="E47" s="28">
        <v>-25</v>
      </c>
      <c r="F47" s="29">
        <f t="shared" si="8"/>
        <v>-0.6447489835882592</v>
      </c>
      <c r="G47" s="29">
        <f t="shared" si="9"/>
        <v>-0.06859969030438953</v>
      </c>
      <c r="H47" s="29">
        <f t="shared" si="10"/>
        <v>0.7133486738926484</v>
      </c>
      <c r="I47" s="29">
        <f t="shared" si="3"/>
        <v>0</v>
      </c>
      <c r="J47" s="29">
        <f t="shared" si="11"/>
        <v>0.07419694066691176</v>
      </c>
      <c r="K47" s="29">
        <f t="shared" si="12"/>
        <v>-0.213641575926085</v>
      </c>
      <c r="L47" s="29">
        <f t="shared" si="13"/>
        <v>0.13944463525917342</v>
      </c>
      <c r="M47" s="30">
        <f t="shared" si="7"/>
        <v>0</v>
      </c>
      <c r="N47" s="4"/>
      <c r="O47" s="4"/>
    </row>
    <row r="48" spans="3:15" ht="12.75">
      <c r="C48" s="20">
        <v>220</v>
      </c>
      <c r="D48" s="28">
        <v>100</v>
      </c>
      <c r="E48" s="28">
        <v>-20</v>
      </c>
      <c r="F48" s="29">
        <f t="shared" si="8"/>
        <v>-0.6029483531510883</v>
      </c>
      <c r="G48" s="29">
        <f t="shared" si="9"/>
        <v>-0.136677295543937</v>
      </c>
      <c r="H48" s="29">
        <f t="shared" si="10"/>
        <v>0.7396256486950253</v>
      </c>
      <c r="I48" s="29">
        <f t="shared" si="3"/>
        <v>0</v>
      </c>
      <c r="J48" s="29">
        <f t="shared" si="11"/>
        <v>0.037670774036844865</v>
      </c>
      <c r="K48" s="29">
        <f t="shared" si="12"/>
        <v>-0.20385441907495402</v>
      </c>
      <c r="L48" s="29">
        <f t="shared" si="13"/>
        <v>0.16618364503810915</v>
      </c>
      <c r="M48" s="30">
        <f t="shared" si="7"/>
        <v>0</v>
      </c>
      <c r="N48" s="4"/>
      <c r="O48" s="4"/>
    </row>
    <row r="49" spans="3:15" ht="12.75">
      <c r="C49" s="20">
        <v>225</v>
      </c>
      <c r="D49" s="28">
        <v>105</v>
      </c>
      <c r="E49" s="28">
        <v>-15</v>
      </c>
      <c r="F49" s="29">
        <f t="shared" si="8"/>
        <v>-0.5565589216762683</v>
      </c>
      <c r="G49" s="29">
        <f t="shared" si="9"/>
        <v>-0.2037147040363879</v>
      </c>
      <c r="H49" s="29">
        <f t="shared" si="10"/>
        <v>0.760273625712656</v>
      </c>
      <c r="I49" s="29">
        <f t="shared" si="3"/>
        <v>0</v>
      </c>
      <c r="J49" s="29">
        <f t="shared" si="11"/>
        <v>6.644511221847606E-17</v>
      </c>
      <c r="K49" s="29">
        <f t="shared" si="12"/>
        <v>-0.18787324885554388</v>
      </c>
      <c r="L49" s="29">
        <f t="shared" si="13"/>
        <v>0.1878732488555439</v>
      </c>
      <c r="M49" s="30">
        <f t="shared" si="7"/>
        <v>0</v>
      </c>
      <c r="N49" s="4"/>
      <c r="O49" s="4"/>
    </row>
    <row r="50" spans="3:15" ht="12.75">
      <c r="C50" s="20">
        <v>230</v>
      </c>
      <c r="D50" s="28">
        <v>110</v>
      </c>
      <c r="E50" s="28">
        <v>-10</v>
      </c>
      <c r="F50" s="29">
        <f t="shared" si="8"/>
        <v>-0.5059337407480267</v>
      </c>
      <c r="G50" s="29">
        <f t="shared" si="9"/>
        <v>-0.26920172062482023</v>
      </c>
      <c r="H50" s="29">
        <f t="shared" si="10"/>
        <v>0.7751354613728468</v>
      </c>
      <c r="I50" s="29">
        <f t="shared" si="3"/>
        <v>0</v>
      </c>
      <c r="J50" s="29">
        <f t="shared" si="11"/>
        <v>-0.03767077403684474</v>
      </c>
      <c r="K50" s="29">
        <f t="shared" si="12"/>
        <v>-0.16618364503810915</v>
      </c>
      <c r="L50" s="29">
        <f t="shared" si="13"/>
        <v>0.20385441907495402</v>
      </c>
      <c r="M50" s="30">
        <f t="shared" si="7"/>
        <v>0</v>
      </c>
      <c r="N50" s="4"/>
      <c r="O50" s="4"/>
    </row>
    <row r="51" spans="3:15" ht="12.75">
      <c r="C51" s="20">
        <v>235</v>
      </c>
      <c r="D51" s="28">
        <v>115</v>
      </c>
      <c r="E51" s="28">
        <v>-5</v>
      </c>
      <c r="F51" s="29">
        <f t="shared" si="8"/>
        <v>-0.4514580985615476</v>
      </c>
      <c r="G51" s="29">
        <f t="shared" si="9"/>
        <v>-0.3326399495708546</v>
      </c>
      <c r="H51" s="29">
        <f t="shared" si="10"/>
        <v>0.784098048132402</v>
      </c>
      <c r="I51" s="29">
        <f t="shared" si="3"/>
        <v>0</v>
      </c>
      <c r="J51" s="29">
        <f t="shared" si="11"/>
        <v>-0.07419694066691145</v>
      </c>
      <c r="K51" s="29">
        <f t="shared" si="12"/>
        <v>-0.13944463525917344</v>
      </c>
      <c r="L51" s="29">
        <f t="shared" si="13"/>
        <v>0.213641575926085</v>
      </c>
      <c r="M51" s="30">
        <f t="shared" si="7"/>
        <v>0</v>
      </c>
      <c r="N51" s="4"/>
      <c r="O51" s="4"/>
    </row>
    <row r="52" spans="3:15" ht="12.75">
      <c r="C52" s="20">
        <v>240</v>
      </c>
      <c r="D52" s="28">
        <v>120</v>
      </c>
      <c r="E52" s="28">
        <v>0</v>
      </c>
      <c r="F52" s="29">
        <f t="shared" si="8"/>
        <v>-0.39354658764716216</v>
      </c>
      <c r="G52" s="29">
        <f t="shared" si="9"/>
        <v>-0.3935465876471616</v>
      </c>
      <c r="H52" s="29">
        <f t="shared" si="10"/>
        <v>0.7870931752943237</v>
      </c>
      <c r="I52" s="29">
        <f aca="true" t="shared" si="14" ref="I52:I76">F52+G52+H52</f>
        <v>0</v>
      </c>
      <c r="J52" s="29">
        <f t="shared" si="11"/>
        <v>-0.10846867080027764</v>
      </c>
      <c r="K52" s="29">
        <f t="shared" si="12"/>
        <v>-0.1084686708002779</v>
      </c>
      <c r="L52" s="29">
        <f t="shared" si="13"/>
        <v>0.21693734160055564</v>
      </c>
      <c r="M52" s="30">
        <f t="shared" si="7"/>
        <v>0</v>
      </c>
      <c r="N52" s="4"/>
      <c r="O52" s="4"/>
    </row>
    <row r="53" spans="3:15" ht="12.75">
      <c r="C53" s="20">
        <v>245</v>
      </c>
      <c r="D53" s="28">
        <v>125</v>
      </c>
      <c r="E53" s="28">
        <v>5</v>
      </c>
      <c r="F53" s="29">
        <f t="shared" si="8"/>
        <v>-0.3326399495708551</v>
      </c>
      <c r="G53" s="29">
        <f t="shared" si="9"/>
        <v>-0.45145809856154717</v>
      </c>
      <c r="H53" s="29">
        <f t="shared" si="10"/>
        <v>0.784098048132402</v>
      </c>
      <c r="I53" s="29">
        <f t="shared" si="14"/>
        <v>0</v>
      </c>
      <c r="J53" s="29">
        <f t="shared" si="11"/>
        <v>-0.13944463525917322</v>
      </c>
      <c r="K53" s="29">
        <f t="shared" si="12"/>
        <v>-0.07419694066691174</v>
      </c>
      <c r="L53" s="29">
        <f t="shared" si="13"/>
        <v>0.213641575926085</v>
      </c>
      <c r="M53" s="30">
        <f t="shared" si="7"/>
        <v>0</v>
      </c>
      <c r="N53" s="4"/>
      <c r="O53" s="4"/>
    </row>
    <row r="54" spans="3:15" ht="12.75">
      <c r="C54" s="20">
        <v>250</v>
      </c>
      <c r="D54" s="28">
        <v>130</v>
      </c>
      <c r="E54" s="28">
        <v>10</v>
      </c>
      <c r="F54" s="29">
        <f t="shared" si="8"/>
        <v>-0.2692017206248208</v>
      </c>
      <c r="G54" s="29">
        <f t="shared" si="9"/>
        <v>-0.5059337407480266</v>
      </c>
      <c r="H54" s="29">
        <f t="shared" si="10"/>
        <v>0.7751354613728468</v>
      </c>
      <c r="I54" s="29">
        <f t="shared" si="14"/>
        <v>0</v>
      </c>
      <c r="J54" s="29">
        <f t="shared" si="11"/>
        <v>-0.16618364503810898</v>
      </c>
      <c r="K54" s="29">
        <f t="shared" si="12"/>
        <v>-0.037670774036844844</v>
      </c>
      <c r="L54" s="29">
        <f t="shared" si="13"/>
        <v>0.20385441907495402</v>
      </c>
      <c r="M54" s="30">
        <f t="shared" si="7"/>
        <v>0</v>
      </c>
      <c r="N54" s="4"/>
      <c r="O54" s="4"/>
    </row>
    <row r="55" spans="3:15" ht="12.75">
      <c r="C55" s="20">
        <v>255</v>
      </c>
      <c r="D55" s="28">
        <v>135</v>
      </c>
      <c r="E55" s="28">
        <v>15</v>
      </c>
      <c r="F55" s="29">
        <f t="shared" si="8"/>
        <v>-0.20371470403638772</v>
      </c>
      <c r="G55" s="29">
        <f t="shared" si="9"/>
        <v>-0.5565589216762681</v>
      </c>
      <c r="H55" s="29">
        <f t="shared" si="10"/>
        <v>0.760273625712656</v>
      </c>
      <c r="I55" s="29">
        <f t="shared" si="14"/>
        <v>0</v>
      </c>
      <c r="J55" s="29">
        <f t="shared" si="11"/>
        <v>-0.18787324885554393</v>
      </c>
      <c r="K55" s="29">
        <f t="shared" si="12"/>
        <v>-3.986706733108564E-17</v>
      </c>
      <c r="L55" s="29">
        <f t="shared" si="13"/>
        <v>0.1878732488555439</v>
      </c>
      <c r="M55" s="30">
        <f t="shared" si="7"/>
        <v>0</v>
      </c>
      <c r="N55" s="4"/>
      <c r="O55" s="4"/>
    </row>
    <row r="56" spans="3:15" ht="12.75">
      <c r="C56" s="20">
        <v>260</v>
      </c>
      <c r="D56" s="28">
        <v>140</v>
      </c>
      <c r="E56" s="28">
        <v>20</v>
      </c>
      <c r="F56" s="29">
        <f t="shared" si="8"/>
        <v>-0.13667729554393704</v>
      </c>
      <c r="G56" s="29">
        <f t="shared" si="9"/>
        <v>-0.6029483531510882</v>
      </c>
      <c r="H56" s="29">
        <f t="shared" si="10"/>
        <v>0.7396256486950253</v>
      </c>
      <c r="I56" s="29">
        <f t="shared" si="14"/>
        <v>0</v>
      </c>
      <c r="J56" s="29">
        <f t="shared" si="11"/>
        <v>-0.20385441907495402</v>
      </c>
      <c r="K56" s="29">
        <f t="shared" si="12"/>
        <v>0.03767077403684477</v>
      </c>
      <c r="L56" s="29">
        <f t="shared" si="13"/>
        <v>0.16618364503810915</v>
      </c>
      <c r="M56" s="30">
        <f t="shared" si="7"/>
        <v>0</v>
      </c>
      <c r="N56" s="4"/>
      <c r="O56" s="4"/>
    </row>
    <row r="57" spans="3:15" ht="12.75">
      <c r="C57" s="20">
        <v>265</v>
      </c>
      <c r="D57" s="28">
        <v>145</v>
      </c>
      <c r="E57" s="28">
        <v>25</v>
      </c>
      <c r="F57" s="29">
        <f t="shared" si="8"/>
        <v>-0.06859969030438955</v>
      </c>
      <c r="G57" s="29">
        <f t="shared" si="9"/>
        <v>-0.6447489835882588</v>
      </c>
      <c r="H57" s="29">
        <f t="shared" si="10"/>
        <v>0.7133486738926484</v>
      </c>
      <c r="I57" s="29">
        <f t="shared" si="14"/>
        <v>0</v>
      </c>
      <c r="J57" s="29">
        <f t="shared" si="11"/>
        <v>-0.213641575926085</v>
      </c>
      <c r="K57" s="29">
        <f t="shared" si="12"/>
        <v>0.07419694066691147</v>
      </c>
      <c r="L57" s="29">
        <f t="shared" si="13"/>
        <v>0.13944463525917342</v>
      </c>
      <c r="M57" s="30">
        <f t="shared" si="7"/>
        <v>0</v>
      </c>
      <c r="N57" s="4"/>
      <c r="O57" s="4"/>
    </row>
    <row r="58" spans="3:15" ht="12.75">
      <c r="C58" s="20">
        <v>270</v>
      </c>
      <c r="D58" s="28">
        <v>150</v>
      </c>
      <c r="E58" s="28">
        <v>30</v>
      </c>
      <c r="F58" s="29">
        <f t="shared" si="8"/>
        <v>-1.4464589813714404E-16</v>
      </c>
      <c r="G58" s="29">
        <f t="shared" si="9"/>
        <v>-0.6816426849502426</v>
      </c>
      <c r="H58" s="29">
        <f t="shared" si="10"/>
        <v>0.6816426849502426</v>
      </c>
      <c r="I58" s="29">
        <f t="shared" si="14"/>
        <v>0</v>
      </c>
      <c r="J58" s="29">
        <f t="shared" si="11"/>
        <v>-0.21693734160055564</v>
      </c>
      <c r="K58" s="29">
        <f t="shared" si="12"/>
        <v>0.10846867080027785</v>
      </c>
      <c r="L58" s="29">
        <f t="shared" si="13"/>
        <v>0.10846867080027785</v>
      </c>
      <c r="M58" s="30">
        <f t="shared" si="7"/>
        <v>0</v>
      </c>
      <c r="N58" s="4"/>
      <c r="O58" s="4"/>
    </row>
    <row r="59" spans="3:15" ht="12.75">
      <c r="C59" s="20">
        <v>275</v>
      </c>
      <c r="D59" s="28">
        <v>155</v>
      </c>
      <c r="E59" s="28">
        <v>35</v>
      </c>
      <c r="F59" s="29">
        <f t="shared" si="8"/>
        <v>0.06859969030438927</v>
      </c>
      <c r="G59" s="29">
        <f t="shared" si="9"/>
        <v>-0.7133486738926484</v>
      </c>
      <c r="H59" s="29">
        <f t="shared" si="10"/>
        <v>0.6447489835882589</v>
      </c>
      <c r="I59" s="29">
        <f t="shared" si="14"/>
        <v>0</v>
      </c>
      <c r="J59" s="29">
        <f t="shared" si="11"/>
        <v>-0.21364157592608501</v>
      </c>
      <c r="K59" s="29">
        <f t="shared" si="12"/>
        <v>0.1394446352591734</v>
      </c>
      <c r="L59" s="29">
        <f t="shared" si="13"/>
        <v>0.07419694066691163</v>
      </c>
      <c r="M59" s="30">
        <f t="shared" si="7"/>
        <v>0</v>
      </c>
      <c r="N59" s="4"/>
      <c r="O59" s="4"/>
    </row>
    <row r="60" spans="3:15" ht="12.75">
      <c r="C60" s="20">
        <v>280</v>
      </c>
      <c r="D60" s="28">
        <v>160</v>
      </c>
      <c r="E60" s="28">
        <v>40</v>
      </c>
      <c r="F60" s="29">
        <f t="shared" si="8"/>
        <v>0.13667729554393676</v>
      </c>
      <c r="G60" s="29">
        <f t="shared" si="9"/>
        <v>-0.7396256486950253</v>
      </c>
      <c r="H60" s="29">
        <f t="shared" si="10"/>
        <v>0.6029483531510883</v>
      </c>
      <c r="I60" s="29">
        <f t="shared" si="14"/>
        <v>0</v>
      </c>
      <c r="J60" s="29">
        <f t="shared" si="11"/>
        <v>-0.20385441907495405</v>
      </c>
      <c r="K60" s="29">
        <f t="shared" si="12"/>
        <v>0.1661836450381091</v>
      </c>
      <c r="L60" s="29">
        <f t="shared" si="13"/>
        <v>0.03767077403684486</v>
      </c>
      <c r="M60" s="30">
        <f t="shared" si="7"/>
        <v>-1.0408340855860843E-16</v>
      </c>
      <c r="N60" s="4"/>
      <c r="O60" s="4"/>
    </row>
    <row r="61" spans="3:15" ht="12.75">
      <c r="C61" s="20">
        <v>285</v>
      </c>
      <c r="D61" s="28">
        <v>165</v>
      </c>
      <c r="E61" s="28">
        <v>45</v>
      </c>
      <c r="F61" s="29">
        <f t="shared" si="8"/>
        <v>0.2037147040363881</v>
      </c>
      <c r="G61" s="29">
        <f t="shared" si="9"/>
        <v>-0.7602736257126559</v>
      </c>
      <c r="H61" s="29">
        <f t="shared" si="10"/>
        <v>0.5565589216762682</v>
      </c>
      <c r="I61" s="29">
        <f t="shared" si="14"/>
        <v>0</v>
      </c>
      <c r="J61" s="29">
        <f t="shared" si="11"/>
        <v>-0.18787324885554382</v>
      </c>
      <c r="K61" s="29">
        <f t="shared" si="12"/>
        <v>0.18787324885554385</v>
      </c>
      <c r="L61" s="29">
        <f t="shared" si="13"/>
        <v>1.3289022443695211E-17</v>
      </c>
      <c r="M61" s="30">
        <f t="shared" si="7"/>
        <v>4.1044598059324126E-17</v>
      </c>
      <c r="N61" s="4"/>
      <c r="O61" s="4"/>
    </row>
    <row r="62" spans="3:15" ht="12.75">
      <c r="C62" s="20">
        <v>290</v>
      </c>
      <c r="D62" s="28">
        <v>170</v>
      </c>
      <c r="E62" s="28">
        <v>50</v>
      </c>
      <c r="F62" s="29">
        <f t="shared" si="8"/>
        <v>0.26920172062481984</v>
      </c>
      <c r="G62" s="29">
        <f t="shared" si="9"/>
        <v>-0.7751354613728468</v>
      </c>
      <c r="H62" s="29">
        <f t="shared" si="10"/>
        <v>0.5059337407480266</v>
      </c>
      <c r="I62" s="29">
        <f t="shared" si="14"/>
        <v>0</v>
      </c>
      <c r="J62" s="29">
        <f t="shared" si="11"/>
        <v>-0.1661836450381093</v>
      </c>
      <c r="K62" s="29">
        <f t="shared" si="12"/>
        <v>0.20385441907495402</v>
      </c>
      <c r="L62" s="29">
        <f t="shared" si="13"/>
        <v>-0.03767077403684484</v>
      </c>
      <c r="M62" s="30">
        <f t="shared" si="7"/>
        <v>-1.249000902703301E-16</v>
      </c>
      <c r="N62" s="4"/>
      <c r="O62" s="4"/>
    </row>
    <row r="63" spans="3:15" ht="12.75">
      <c r="C63" s="20">
        <v>295</v>
      </c>
      <c r="D63" s="28">
        <v>175</v>
      </c>
      <c r="E63" s="28">
        <v>55</v>
      </c>
      <c r="F63" s="29">
        <f t="shared" si="8"/>
        <v>0.3326399495708548</v>
      </c>
      <c r="G63" s="29">
        <f t="shared" si="9"/>
        <v>-0.784098048132402</v>
      </c>
      <c r="H63" s="29">
        <f t="shared" si="10"/>
        <v>0.45145809856154745</v>
      </c>
      <c r="I63" s="29">
        <f t="shared" si="14"/>
        <v>0</v>
      </c>
      <c r="J63" s="29">
        <f t="shared" si="11"/>
        <v>-0.13944463525917336</v>
      </c>
      <c r="K63" s="29">
        <f t="shared" si="12"/>
        <v>0.213641575926085</v>
      </c>
      <c r="L63" s="29">
        <f t="shared" si="13"/>
        <v>-0.07419694066691158</v>
      </c>
      <c r="M63" s="30">
        <f t="shared" si="7"/>
        <v>0</v>
      </c>
      <c r="N63" s="4"/>
      <c r="O63" s="4"/>
    </row>
    <row r="64" spans="3:15" ht="12.75">
      <c r="C64" s="20">
        <v>300</v>
      </c>
      <c r="D64" s="28">
        <v>180</v>
      </c>
      <c r="E64" s="28">
        <v>60</v>
      </c>
      <c r="F64" s="29">
        <f t="shared" si="8"/>
        <v>0.3935465876471619</v>
      </c>
      <c r="G64" s="29">
        <f t="shared" si="9"/>
        <v>-0.7870931752943237</v>
      </c>
      <c r="H64" s="29">
        <f t="shared" si="10"/>
        <v>0.3935465876471619</v>
      </c>
      <c r="I64" s="29">
        <f t="shared" si="14"/>
        <v>0</v>
      </c>
      <c r="J64" s="29">
        <f t="shared" si="11"/>
        <v>-0.10846867080027778</v>
      </c>
      <c r="K64" s="29">
        <f t="shared" si="12"/>
        <v>0.21693734160055564</v>
      </c>
      <c r="L64" s="29">
        <f t="shared" si="13"/>
        <v>-0.10846867080027778</v>
      </c>
      <c r="M64" s="30">
        <f t="shared" si="7"/>
        <v>0</v>
      </c>
      <c r="N64" s="4"/>
      <c r="O64" s="4"/>
    </row>
    <row r="65" spans="3:15" ht="12.75">
      <c r="C65" s="20">
        <v>305</v>
      </c>
      <c r="D65" s="28">
        <v>185</v>
      </c>
      <c r="E65" s="28">
        <v>65</v>
      </c>
      <c r="F65" s="29">
        <f t="shared" si="8"/>
        <v>0.45145809856154734</v>
      </c>
      <c r="G65" s="29">
        <f t="shared" si="9"/>
        <v>-0.784098048132402</v>
      </c>
      <c r="H65" s="29">
        <f t="shared" si="10"/>
        <v>0.3326399495708547</v>
      </c>
      <c r="I65" s="29">
        <f t="shared" si="14"/>
        <v>0</v>
      </c>
      <c r="J65" s="29">
        <f t="shared" si="11"/>
        <v>-0.0741969406669116</v>
      </c>
      <c r="K65" s="29">
        <f t="shared" si="12"/>
        <v>0.21364157592608501</v>
      </c>
      <c r="L65" s="29">
        <f t="shared" si="13"/>
        <v>-0.13944463525917342</v>
      </c>
      <c r="M65" s="30">
        <f t="shared" si="7"/>
        <v>0</v>
      </c>
      <c r="N65" s="4"/>
      <c r="O65" s="4"/>
    </row>
    <row r="66" spans="3:15" ht="12.75">
      <c r="C66" s="20">
        <v>310</v>
      </c>
      <c r="D66" s="28">
        <v>190</v>
      </c>
      <c r="E66" s="28">
        <v>70</v>
      </c>
      <c r="F66" s="29">
        <f t="shared" si="8"/>
        <v>0.5059337407480266</v>
      </c>
      <c r="G66" s="29">
        <f t="shared" si="9"/>
        <v>-0.7751354613728468</v>
      </c>
      <c r="H66" s="29">
        <f t="shared" si="10"/>
        <v>0.26920172062482034</v>
      </c>
      <c r="I66" s="29">
        <f t="shared" si="14"/>
        <v>0</v>
      </c>
      <c r="J66" s="29">
        <f t="shared" si="11"/>
        <v>-0.0376707740368449</v>
      </c>
      <c r="K66" s="29">
        <f t="shared" si="12"/>
        <v>0.20385441907495397</v>
      </c>
      <c r="L66" s="29">
        <f t="shared" si="13"/>
        <v>-0.16618364503810912</v>
      </c>
      <c r="M66" s="30">
        <f t="shared" si="7"/>
        <v>0</v>
      </c>
      <c r="N66" s="4"/>
      <c r="O66" s="4"/>
    </row>
    <row r="67" spans="3:15" ht="12.75">
      <c r="C67" s="20">
        <v>315</v>
      </c>
      <c r="D67" s="28">
        <v>195</v>
      </c>
      <c r="E67" s="28">
        <v>75</v>
      </c>
      <c r="F67" s="29">
        <f t="shared" si="8"/>
        <v>0.5565589216762681</v>
      </c>
      <c r="G67" s="29">
        <f t="shared" si="9"/>
        <v>-0.7602736257126561</v>
      </c>
      <c r="H67" s="29">
        <f t="shared" si="10"/>
        <v>0.2037147040363878</v>
      </c>
      <c r="I67" s="29">
        <f t="shared" si="14"/>
        <v>-2.220446049250313E-16</v>
      </c>
      <c r="J67" s="29">
        <f t="shared" si="11"/>
        <v>-9.302315710586648E-17</v>
      </c>
      <c r="K67" s="29">
        <f t="shared" si="12"/>
        <v>0.18787324885554396</v>
      </c>
      <c r="L67" s="29">
        <f t="shared" si="13"/>
        <v>-0.1878732488555439</v>
      </c>
      <c r="M67" s="30">
        <f t="shared" si="7"/>
        <v>0</v>
      </c>
      <c r="N67" s="4"/>
      <c r="O67" s="4"/>
    </row>
    <row r="68" spans="3:15" ht="12.75">
      <c r="C68" s="20">
        <v>320</v>
      </c>
      <c r="D68" s="28">
        <v>200</v>
      </c>
      <c r="E68" s="28">
        <v>80</v>
      </c>
      <c r="F68" s="29">
        <f aca="true" t="shared" si="15" ref="F68:F76">COS(C68*PI()/180)/$A$9</f>
        <v>0.6029483531510881</v>
      </c>
      <c r="G68" s="29">
        <f aca="true" t="shared" si="16" ref="G68:G76">COS(D68*PI()/180)/$A$9</f>
        <v>-0.7396256486950253</v>
      </c>
      <c r="H68" s="29">
        <f aca="true" t="shared" si="17" ref="H68:H76">COS(E68*PI()/180)/$A$9</f>
        <v>0.13667729554393712</v>
      </c>
      <c r="I68" s="29">
        <f t="shared" si="14"/>
        <v>0</v>
      </c>
      <c r="J68" s="29">
        <f aca="true" t="shared" si="18" ref="J68:J76">$A$3/$A$6*COS(2*C68*PI()/180)/$A$9</f>
        <v>0.03767077403684471</v>
      </c>
      <c r="K68" s="29">
        <f aca="true" t="shared" si="19" ref="K68:K76">$A$3/$A$6*COS(2*D68*PI()/180)/$A$9</f>
        <v>0.16618364503810917</v>
      </c>
      <c r="L68" s="29">
        <f aca="true" t="shared" si="20" ref="L68:L76">$A$3/$A$6*COS(2*E68*PI()/180)/$A$9</f>
        <v>-0.20385441907495397</v>
      </c>
      <c r="M68" s="30">
        <f t="shared" si="7"/>
        <v>0</v>
      </c>
      <c r="N68" s="4"/>
      <c r="O68" s="4"/>
    </row>
    <row r="69" spans="3:15" ht="12.75">
      <c r="C69" s="20">
        <v>325</v>
      </c>
      <c r="D69" s="28">
        <v>205</v>
      </c>
      <c r="E69" s="28">
        <v>85</v>
      </c>
      <c r="F69" s="29">
        <f t="shared" si="15"/>
        <v>0.6447489835882588</v>
      </c>
      <c r="G69" s="29">
        <f t="shared" si="16"/>
        <v>-0.7133486738926486</v>
      </c>
      <c r="H69" s="29">
        <f t="shared" si="17"/>
        <v>0.06859969030438946</v>
      </c>
      <c r="I69" s="29">
        <f t="shared" si="14"/>
        <v>-2.636779683484747E-16</v>
      </c>
      <c r="J69" s="29">
        <f t="shared" si="18"/>
        <v>0.07419694066691143</v>
      </c>
      <c r="K69" s="29">
        <f t="shared" si="19"/>
        <v>0.13944463525917347</v>
      </c>
      <c r="L69" s="29">
        <f t="shared" si="20"/>
        <v>-0.213641575926085</v>
      </c>
      <c r="M69" s="30">
        <f aca="true" t="shared" si="21" ref="M69:M76">J69+K69+L69</f>
        <v>0</v>
      </c>
      <c r="N69" s="4"/>
      <c r="O69" s="4"/>
    </row>
    <row r="70" spans="3:15" ht="12.75">
      <c r="C70" s="20">
        <v>330</v>
      </c>
      <c r="D70" s="28">
        <v>210</v>
      </c>
      <c r="E70" s="28">
        <v>90</v>
      </c>
      <c r="F70" s="29">
        <f t="shared" si="15"/>
        <v>0.6816426849502424</v>
      </c>
      <c r="G70" s="29">
        <f t="shared" si="16"/>
        <v>-0.6816426849502425</v>
      </c>
      <c r="H70" s="29">
        <f t="shared" si="17"/>
        <v>4.821529937904801E-17</v>
      </c>
      <c r="I70" s="29">
        <f t="shared" si="14"/>
        <v>-6.280700308346765E-17</v>
      </c>
      <c r="J70" s="29">
        <f t="shared" si="18"/>
        <v>0.10846867080027763</v>
      </c>
      <c r="K70" s="29">
        <f t="shared" si="19"/>
        <v>0.10846867080027775</v>
      </c>
      <c r="L70" s="29">
        <f t="shared" si="20"/>
        <v>-0.21693734160055564</v>
      </c>
      <c r="M70" s="30">
        <f t="shared" si="21"/>
        <v>-2.498001805406602E-16</v>
      </c>
      <c r="N70" s="4"/>
      <c r="O70" s="4"/>
    </row>
    <row r="71" spans="3:15" ht="12.75">
      <c r="C71" s="20">
        <v>335</v>
      </c>
      <c r="D71" s="28">
        <v>215</v>
      </c>
      <c r="E71" s="28">
        <v>95</v>
      </c>
      <c r="F71" s="29">
        <f t="shared" si="15"/>
        <v>0.7133486738926482</v>
      </c>
      <c r="G71" s="29">
        <f t="shared" si="16"/>
        <v>-0.6447489835882592</v>
      </c>
      <c r="H71" s="29">
        <f t="shared" si="17"/>
        <v>-0.06859969030438953</v>
      </c>
      <c r="I71" s="29">
        <f t="shared" si="14"/>
        <v>-4.718447854656915E-16</v>
      </c>
      <c r="J71" s="29">
        <f t="shared" si="18"/>
        <v>0.1394446352591732</v>
      </c>
      <c r="K71" s="29">
        <f t="shared" si="19"/>
        <v>0.07419694066691176</v>
      </c>
      <c r="L71" s="29">
        <f t="shared" si="20"/>
        <v>-0.213641575926085</v>
      </c>
      <c r="M71" s="30">
        <f t="shared" si="21"/>
        <v>0</v>
      </c>
      <c r="N71" s="4"/>
      <c r="O71" s="4"/>
    </row>
    <row r="72" spans="3:15" ht="12.75">
      <c r="C72" s="20">
        <v>340</v>
      </c>
      <c r="D72" s="28">
        <v>220</v>
      </c>
      <c r="E72" s="28">
        <v>100</v>
      </c>
      <c r="F72" s="29">
        <f t="shared" si="15"/>
        <v>0.7396256486950253</v>
      </c>
      <c r="G72" s="29">
        <f t="shared" si="16"/>
        <v>-0.6029483531510883</v>
      </c>
      <c r="H72" s="29">
        <f t="shared" si="17"/>
        <v>-0.136677295543937</v>
      </c>
      <c r="I72" s="29">
        <f t="shared" si="14"/>
        <v>0</v>
      </c>
      <c r="J72" s="29">
        <f t="shared" si="18"/>
        <v>0.1661836450381092</v>
      </c>
      <c r="K72" s="29">
        <f t="shared" si="19"/>
        <v>0.037670774036844865</v>
      </c>
      <c r="L72" s="29">
        <f t="shared" si="20"/>
        <v>-0.20385441907495402</v>
      </c>
      <c r="M72" s="30">
        <f t="shared" si="21"/>
        <v>0</v>
      </c>
      <c r="N72" s="4"/>
      <c r="O72" s="4"/>
    </row>
    <row r="73" spans="3:15" ht="12.75">
      <c r="C73" s="20">
        <v>345</v>
      </c>
      <c r="D73" s="28">
        <v>225</v>
      </c>
      <c r="E73" s="28">
        <v>105</v>
      </c>
      <c r="F73" s="29">
        <f t="shared" si="15"/>
        <v>0.760273625712656</v>
      </c>
      <c r="G73" s="29">
        <f t="shared" si="16"/>
        <v>-0.5565589216762683</v>
      </c>
      <c r="H73" s="29">
        <f t="shared" si="17"/>
        <v>-0.2037147040363879</v>
      </c>
      <c r="I73" s="29">
        <f t="shared" si="14"/>
        <v>0</v>
      </c>
      <c r="J73" s="29">
        <f t="shared" si="18"/>
        <v>0.1878732488555439</v>
      </c>
      <c r="K73" s="29">
        <f t="shared" si="19"/>
        <v>6.644511221847606E-17</v>
      </c>
      <c r="L73" s="29">
        <f t="shared" si="20"/>
        <v>-0.18787324885554388</v>
      </c>
      <c r="M73" s="30">
        <f t="shared" si="21"/>
        <v>0</v>
      </c>
      <c r="N73" s="4"/>
      <c r="O73" s="4"/>
    </row>
    <row r="74" spans="3:15" ht="12.75">
      <c r="C74" s="20">
        <v>350</v>
      </c>
      <c r="D74" s="28">
        <v>230</v>
      </c>
      <c r="E74" s="28">
        <v>110</v>
      </c>
      <c r="F74" s="29">
        <f t="shared" si="15"/>
        <v>0.7751354613728467</v>
      </c>
      <c r="G74" s="29">
        <f t="shared" si="16"/>
        <v>-0.5059337407480267</v>
      </c>
      <c r="H74" s="29">
        <f t="shared" si="17"/>
        <v>-0.26920172062482023</v>
      </c>
      <c r="I74" s="29">
        <f t="shared" si="14"/>
        <v>0</v>
      </c>
      <c r="J74" s="29">
        <f t="shared" si="18"/>
        <v>0.20385441907495389</v>
      </c>
      <c r="K74" s="29">
        <f t="shared" si="19"/>
        <v>-0.03767077403684474</v>
      </c>
      <c r="L74" s="29">
        <f t="shared" si="20"/>
        <v>-0.16618364503810915</v>
      </c>
      <c r="M74" s="30">
        <f t="shared" si="21"/>
        <v>0</v>
      </c>
      <c r="N74" s="4"/>
      <c r="O74" s="4"/>
    </row>
    <row r="75" spans="3:15" ht="12.75">
      <c r="C75" s="20">
        <v>355</v>
      </c>
      <c r="D75" s="28">
        <v>235</v>
      </c>
      <c r="E75" s="28">
        <v>115</v>
      </c>
      <c r="F75" s="29">
        <f t="shared" si="15"/>
        <v>0.784098048132402</v>
      </c>
      <c r="G75" s="29">
        <f t="shared" si="16"/>
        <v>-0.4514580985615476</v>
      </c>
      <c r="H75" s="29">
        <f t="shared" si="17"/>
        <v>-0.3326399495708546</v>
      </c>
      <c r="I75" s="29">
        <f t="shared" si="14"/>
        <v>0</v>
      </c>
      <c r="J75" s="29">
        <f t="shared" si="18"/>
        <v>0.213641575926085</v>
      </c>
      <c r="K75" s="29">
        <f t="shared" si="19"/>
        <v>-0.07419694066691145</v>
      </c>
      <c r="L75" s="29">
        <f t="shared" si="20"/>
        <v>-0.13944463525917344</v>
      </c>
      <c r="M75" s="30">
        <f t="shared" si="21"/>
        <v>0</v>
      </c>
      <c r="N75" s="4"/>
      <c r="O75" s="4"/>
    </row>
    <row r="76" spans="3:15" ht="13.5" thickBot="1">
      <c r="C76" s="16">
        <v>360</v>
      </c>
      <c r="D76" s="17">
        <v>240</v>
      </c>
      <c r="E76" s="17">
        <v>120</v>
      </c>
      <c r="F76" s="31">
        <f t="shared" si="15"/>
        <v>0.7870931752943237</v>
      </c>
      <c r="G76" s="31">
        <f t="shared" si="16"/>
        <v>-0.39354658764716216</v>
      </c>
      <c r="H76" s="31">
        <f t="shared" si="17"/>
        <v>-0.3935465876471616</v>
      </c>
      <c r="I76" s="31">
        <f t="shared" si="14"/>
        <v>0</v>
      </c>
      <c r="J76" s="31">
        <f t="shared" si="18"/>
        <v>0.21693734160055564</v>
      </c>
      <c r="K76" s="31">
        <f t="shared" si="19"/>
        <v>-0.10846867080027764</v>
      </c>
      <c r="L76" s="31">
        <f t="shared" si="20"/>
        <v>-0.1084686708002779</v>
      </c>
      <c r="M76" s="32">
        <f t="shared" si="21"/>
        <v>0</v>
      </c>
      <c r="N76" s="4"/>
      <c r="O76" s="4"/>
    </row>
    <row r="77" spans="3:13" ht="12.75">
      <c r="C77" s="2"/>
      <c r="D77" s="2"/>
      <c r="E77" s="2"/>
      <c r="F77" s="4"/>
      <c r="I77" s="4"/>
      <c r="K77" s="4"/>
      <c r="L77" s="4"/>
      <c r="M77" s="4"/>
    </row>
    <row r="78" spans="3:13" ht="12.75">
      <c r="C78" s="2"/>
      <c r="D78" s="2"/>
      <c r="E78" s="2"/>
      <c r="F78" s="4"/>
      <c r="I78" s="4"/>
      <c r="K78" s="4"/>
      <c r="L78" s="4"/>
      <c r="M78" s="4"/>
    </row>
    <row r="79" spans="3:13" ht="12.75">
      <c r="C79" s="2"/>
      <c r="D79" s="2"/>
      <c r="E79" s="2"/>
      <c r="F79" s="4"/>
      <c r="I79" s="4"/>
      <c r="K79" s="4"/>
      <c r="L79" s="4"/>
      <c r="M79" s="4"/>
    </row>
    <row r="80" spans="3:13" ht="12.75">
      <c r="C80" s="2"/>
      <c r="D80" s="2"/>
      <c r="E80" s="2"/>
      <c r="F80" s="4"/>
      <c r="I80" s="4"/>
      <c r="K80" s="4"/>
      <c r="L80" s="4"/>
      <c r="M80" s="4"/>
    </row>
    <row r="81" spans="3:13" ht="12.75">
      <c r="C81" s="2"/>
      <c r="D81" s="2"/>
      <c r="E81" s="2"/>
      <c r="F81" s="4"/>
      <c r="I81" s="4"/>
      <c r="K81" s="4"/>
      <c r="L81" s="4"/>
      <c r="M81" s="4"/>
    </row>
    <row r="82" spans="3:13" ht="12.75">
      <c r="C82" s="2"/>
      <c r="D82" s="2"/>
      <c r="E82" s="2"/>
      <c r="F82" s="4"/>
      <c r="I82" s="4"/>
      <c r="K82" s="4"/>
      <c r="L82" s="4"/>
      <c r="M82" s="4"/>
    </row>
    <row r="83" spans="3:13" ht="12.75">
      <c r="C83" s="2"/>
      <c r="D83" s="2"/>
      <c r="E83" s="2"/>
      <c r="F83" s="4"/>
      <c r="I83" s="4"/>
      <c r="K83" s="4"/>
      <c r="L83" s="4"/>
      <c r="M83" s="4"/>
    </row>
    <row r="84" spans="3:13" ht="12.75">
      <c r="C84" s="2"/>
      <c r="D84" s="2"/>
      <c r="E84" s="2"/>
      <c r="F84" s="4"/>
      <c r="I84" s="4"/>
      <c r="K84" s="4"/>
      <c r="L84" s="4"/>
      <c r="M84" s="4"/>
    </row>
    <row r="85" spans="3:13" ht="12.75">
      <c r="C85" s="2"/>
      <c r="D85" s="2"/>
      <c r="E85" s="2"/>
      <c r="F85" s="4"/>
      <c r="I85" s="4"/>
      <c r="K85" s="4"/>
      <c r="L85" s="4"/>
      <c r="M85" s="4"/>
    </row>
    <row r="86" spans="3:13" ht="12.75">
      <c r="C86" s="2"/>
      <c r="D86" s="2"/>
      <c r="E86" s="2"/>
      <c r="F86" s="4"/>
      <c r="I86" s="4"/>
      <c r="K86" s="4"/>
      <c r="L86" s="4"/>
      <c r="M86" s="4"/>
    </row>
    <row r="87" spans="3:13" ht="12.75">
      <c r="C87" s="2"/>
      <c r="D87" s="2"/>
      <c r="E87" s="2"/>
      <c r="F87" s="4"/>
      <c r="I87" s="4"/>
      <c r="K87" s="4"/>
      <c r="L87" s="4"/>
      <c r="M87" s="4"/>
    </row>
    <row r="88" spans="3:13" ht="12.75">
      <c r="C88" s="2"/>
      <c r="D88" s="2"/>
      <c r="E88" s="2"/>
      <c r="F88" s="4"/>
      <c r="I88" s="4"/>
      <c r="K88" s="4"/>
      <c r="L88" s="4"/>
      <c r="M88" s="4"/>
    </row>
    <row r="89" spans="3:13" ht="12.75">
      <c r="C89" s="2"/>
      <c r="D89" s="2"/>
      <c r="E89" s="2"/>
      <c r="F89" s="4"/>
      <c r="I89" s="4"/>
      <c r="K89" s="4"/>
      <c r="L89" s="4"/>
      <c r="M89" s="4"/>
    </row>
    <row r="90" spans="3:13" ht="12.75">
      <c r="C90" s="2"/>
      <c r="D90" s="2"/>
      <c r="E90" s="2"/>
      <c r="F90" s="4"/>
      <c r="I90" s="4"/>
      <c r="K90" s="4"/>
      <c r="L90" s="4"/>
      <c r="M90" s="4"/>
    </row>
    <row r="91" spans="3:13" ht="12.75">
      <c r="C91" s="2"/>
      <c r="D91" s="2"/>
      <c r="E91" s="2"/>
      <c r="F91" s="4"/>
      <c r="I91" s="4"/>
      <c r="K91" s="4"/>
      <c r="L91" s="4"/>
      <c r="M91" s="4"/>
    </row>
    <row r="92" spans="3:13" ht="12.75">
      <c r="C92" s="2"/>
      <c r="D92" s="2"/>
      <c r="E92" s="2"/>
      <c r="F92" s="4"/>
      <c r="I92" s="4"/>
      <c r="K92" s="4"/>
      <c r="L92" s="4"/>
      <c r="M92" s="4"/>
    </row>
    <row r="93" spans="3:13" ht="12.75">
      <c r="C93" s="2"/>
      <c r="D93" s="2"/>
      <c r="E93" s="2"/>
      <c r="F93" s="4"/>
      <c r="I93" s="4"/>
      <c r="K93" s="4"/>
      <c r="L93" s="4"/>
      <c r="M93" s="4"/>
    </row>
    <row r="94" spans="3:13" ht="12.75">
      <c r="C94" s="2"/>
      <c r="D94" s="2"/>
      <c r="E94" s="2"/>
      <c r="F94" s="4"/>
      <c r="I94" s="4"/>
      <c r="K94" s="4"/>
      <c r="L94" s="4"/>
      <c r="M94" s="4"/>
    </row>
    <row r="95" spans="3:13" ht="12.75">
      <c r="C95" s="2"/>
      <c r="D95" s="2"/>
      <c r="E95" s="2"/>
      <c r="F95" s="4"/>
      <c r="I95" s="4"/>
      <c r="K95" s="4"/>
      <c r="L95" s="4"/>
      <c r="M95" s="4"/>
    </row>
    <row r="96" spans="3:13" ht="12.75">
      <c r="C96" s="2"/>
      <c r="D96" s="2"/>
      <c r="E96" s="2"/>
      <c r="F96" s="4"/>
      <c r="I96" s="4"/>
      <c r="K96" s="4"/>
      <c r="L96" s="4"/>
      <c r="M96" s="4"/>
    </row>
    <row r="97" spans="3:13" ht="12.75">
      <c r="C97" s="2"/>
      <c r="D97" s="2"/>
      <c r="E97" s="2"/>
      <c r="F97" s="4"/>
      <c r="I97" s="4"/>
      <c r="K97" s="4"/>
      <c r="L97" s="4"/>
      <c r="M97" s="4"/>
    </row>
    <row r="98" spans="3:13" ht="12.75">
      <c r="C98" s="2"/>
      <c r="D98" s="2"/>
      <c r="E98" s="2"/>
      <c r="F98" s="4"/>
      <c r="I98" s="4"/>
      <c r="K98" s="4"/>
      <c r="L98" s="4"/>
      <c r="M98" s="4"/>
    </row>
    <row r="99" spans="3:13" ht="12.75">
      <c r="C99" s="2"/>
      <c r="D99" s="2"/>
      <c r="E99" s="2"/>
      <c r="F99" s="4"/>
      <c r="I99" s="4"/>
      <c r="K99" s="4"/>
      <c r="L99" s="4"/>
      <c r="M99" s="4"/>
    </row>
    <row r="100" spans="3:13" ht="12.75">
      <c r="C100" s="2"/>
      <c r="D100" s="2"/>
      <c r="E100" s="2"/>
      <c r="F100" s="4"/>
      <c r="I100" s="4"/>
      <c r="K100" s="4"/>
      <c r="L100" s="4"/>
      <c r="M100" s="4"/>
    </row>
    <row r="101" spans="3:9" ht="12.75">
      <c r="C101" s="2"/>
      <c r="D101" s="2"/>
      <c r="E101" s="2"/>
      <c r="F101" s="4"/>
      <c r="I101" s="4"/>
    </row>
    <row r="102" spans="3:9" ht="12.75">
      <c r="C102" s="2"/>
      <c r="D102" s="2"/>
      <c r="E102" s="2"/>
      <c r="F102" s="4"/>
      <c r="I102" s="4"/>
    </row>
    <row r="103" spans="3:9" ht="12.75">
      <c r="C103" s="2"/>
      <c r="D103" s="2"/>
      <c r="E103" s="2"/>
      <c r="F103" s="4"/>
      <c r="I103" s="4"/>
    </row>
    <row r="104" spans="3:9" ht="12.75">
      <c r="C104" s="2"/>
      <c r="D104" s="2"/>
      <c r="E104" s="2"/>
      <c r="F104" s="4"/>
      <c r="I104" s="4"/>
    </row>
    <row r="105" spans="3:9" ht="12.75">
      <c r="C105" s="2"/>
      <c r="D105" s="2"/>
      <c r="E105" s="2"/>
      <c r="F105" s="4"/>
      <c r="I105" s="4"/>
    </row>
    <row r="106" spans="3:9" ht="12.75">
      <c r="C106" s="2"/>
      <c r="D106" s="2"/>
      <c r="E106" s="2"/>
      <c r="F106" s="4"/>
      <c r="I106" s="4"/>
    </row>
    <row r="107" spans="3:9" ht="12.75">
      <c r="C107" s="2"/>
      <c r="D107" s="2"/>
      <c r="E107" s="2"/>
      <c r="F107" s="4"/>
      <c r="I107" s="4"/>
    </row>
    <row r="108" spans="3:9" ht="12.75">
      <c r="C108" s="2"/>
      <c r="D108" s="2"/>
      <c r="E108" s="2"/>
      <c r="F108" s="4"/>
      <c r="I108" s="4"/>
    </row>
    <row r="109" spans="3:9" ht="12.75">
      <c r="C109" s="2"/>
      <c r="D109" s="2"/>
      <c r="E109" s="2"/>
      <c r="F109" s="4"/>
      <c r="I109" s="4"/>
    </row>
    <row r="110" spans="3:9" ht="12.75">
      <c r="C110" s="2"/>
      <c r="D110" s="2"/>
      <c r="E110" s="2"/>
      <c r="F110" s="4"/>
      <c r="I110" s="4"/>
    </row>
    <row r="111" spans="3:9" ht="12.75">
      <c r="C111" s="2"/>
      <c r="D111" s="2"/>
      <c r="E111" s="2"/>
      <c r="F111" s="4"/>
      <c r="I111" s="4"/>
    </row>
    <row r="112" spans="3:9" ht="12.75">
      <c r="C112" s="2"/>
      <c r="D112" s="2"/>
      <c r="E112" s="2"/>
      <c r="F112" s="4"/>
      <c r="I112" s="4"/>
    </row>
    <row r="113" spans="3:9" ht="12.75">
      <c r="C113" s="2"/>
      <c r="D113" s="2"/>
      <c r="E113" s="2"/>
      <c r="F113" s="4"/>
      <c r="I113" s="4"/>
    </row>
    <row r="114" spans="3:9" ht="12.75">
      <c r="C114" s="2"/>
      <c r="D114" s="2"/>
      <c r="E114" s="2"/>
      <c r="F114" s="4"/>
      <c r="I114" s="4"/>
    </row>
    <row r="115" spans="3:9" ht="12.75">
      <c r="C115" s="2"/>
      <c r="D115" s="2"/>
      <c r="E115" s="2"/>
      <c r="F115" s="4"/>
      <c r="I115" s="4"/>
    </row>
    <row r="116" spans="3:9" ht="12.75">
      <c r="C116" s="2"/>
      <c r="D116" s="2"/>
      <c r="E116" s="2"/>
      <c r="F116" s="4"/>
      <c r="I116" s="4"/>
    </row>
    <row r="117" spans="3:9" ht="12.75">
      <c r="C117" s="2"/>
      <c r="D117" s="2"/>
      <c r="E117" s="2"/>
      <c r="F117" s="4"/>
      <c r="I117" s="4"/>
    </row>
    <row r="118" spans="3:9" ht="12.75">
      <c r="C118" s="2"/>
      <c r="D118" s="2"/>
      <c r="E118" s="2"/>
      <c r="F118" s="4"/>
      <c r="I118" s="4"/>
    </row>
    <row r="119" spans="3:9" ht="12.75">
      <c r="C119" s="2"/>
      <c r="D119" s="2"/>
      <c r="E119" s="2"/>
      <c r="F119" s="4"/>
      <c r="I119" s="4"/>
    </row>
    <row r="120" spans="3:9" ht="12.75">
      <c r="C120" s="2"/>
      <c r="D120" s="2"/>
      <c r="E120" s="2"/>
      <c r="F120" s="4"/>
      <c r="I120" s="4"/>
    </row>
    <row r="121" spans="3:9" ht="12.75">
      <c r="C121" s="2"/>
      <c r="D121" s="2"/>
      <c r="E121" s="2"/>
      <c r="F121" s="4"/>
      <c r="I121" s="4"/>
    </row>
    <row r="122" spans="3:9" ht="12.75">
      <c r="C122" s="2"/>
      <c r="D122" s="2"/>
      <c r="E122" s="2"/>
      <c r="F122" s="4"/>
      <c r="I122" s="4"/>
    </row>
    <row r="123" spans="5:9" ht="12.75">
      <c r="E123" s="2"/>
      <c r="I123" s="4"/>
    </row>
    <row r="124" spans="5:9" ht="12.75">
      <c r="E124" s="2"/>
      <c r="I124" s="4"/>
    </row>
  </sheetData>
  <mergeCells count="3">
    <mergeCell ref="F2:I2"/>
    <mergeCell ref="J2:M2"/>
    <mergeCell ref="C2:E2"/>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R74"/>
  <sheetViews>
    <sheetView workbookViewId="0" topLeftCell="A1">
      <selection activeCell="H2" sqref="H2"/>
    </sheetView>
  </sheetViews>
  <sheetFormatPr defaultColWidth="11.421875" defaultRowHeight="12.75"/>
  <cols>
    <col min="1" max="1" width="11.421875" style="2" customWidth="1"/>
    <col min="2" max="2" width="10.00390625" style="2" customWidth="1"/>
    <col min="3" max="3" width="14.57421875" style="2" customWidth="1"/>
    <col min="4" max="4" width="7.57421875" style="2" customWidth="1"/>
    <col min="5" max="5" width="6.57421875" style="2" customWidth="1"/>
    <col min="6" max="6" width="7.421875" style="2" customWidth="1"/>
    <col min="7" max="7" width="12.7109375" style="2" customWidth="1"/>
    <col min="8" max="8" width="12.140625" style="2" customWidth="1"/>
    <col min="9" max="9" width="11.140625" style="2" customWidth="1"/>
    <col min="10" max="10" width="9.421875" style="2" customWidth="1"/>
    <col min="11" max="11" width="5.421875" style="2" customWidth="1"/>
    <col min="12" max="12" width="5.28125" style="2" customWidth="1"/>
    <col min="13" max="13" width="12.7109375" style="2" customWidth="1"/>
    <col min="14" max="14" width="6.57421875" style="2" customWidth="1"/>
    <col min="15" max="15" width="4.8515625" style="2" bestFit="1" customWidth="1"/>
    <col min="16" max="17" width="7.00390625" style="2" bestFit="1" customWidth="1"/>
    <col min="18" max="18" width="4.57421875" style="2" bestFit="1" customWidth="1"/>
    <col min="19" max="16384" width="11.421875" style="2" customWidth="1"/>
  </cols>
  <sheetData>
    <row r="1" spans="1:18" ht="63.75" thickBot="1">
      <c r="A1" s="6" t="s">
        <v>0</v>
      </c>
      <c r="B1" s="7" t="s">
        <v>11</v>
      </c>
      <c r="C1" s="7" t="s">
        <v>12</v>
      </c>
      <c r="D1" s="44" t="s">
        <v>13</v>
      </c>
      <c r="E1" s="45"/>
      <c r="H1" s="8" t="s">
        <v>14</v>
      </c>
      <c r="I1" s="9" t="s">
        <v>15</v>
      </c>
      <c r="J1" s="9" t="s">
        <v>16</v>
      </c>
      <c r="K1" s="9" t="s">
        <v>17</v>
      </c>
      <c r="L1" s="10" t="s">
        <v>18</v>
      </c>
      <c r="M1" s="11"/>
      <c r="N1" s="11"/>
      <c r="O1" s="39" t="s">
        <v>32</v>
      </c>
      <c r="P1" s="27" t="s">
        <v>19</v>
      </c>
      <c r="Q1" s="27" t="s">
        <v>20</v>
      </c>
      <c r="R1" s="27" t="s">
        <v>21</v>
      </c>
    </row>
    <row r="2" spans="1:18" ht="13.5" thickBot="1">
      <c r="A2" s="12">
        <v>0</v>
      </c>
      <c r="B2" s="13">
        <f aca="true" t="shared" si="0" ref="B2:B65">$H$2*(1+$I$2/$H$2-COS(A2/180*PI())-SQRT(($I$2/$H$2)^2-(SIN(A2/180*PI())^2)))</f>
        <v>-1.7319479184152442E-14</v>
      </c>
      <c r="C2" s="13">
        <f aca="true" t="shared" si="1" ref="C2:C65">2*PI()*$J$2/60*$H$2/1000*(SIN(A2/180*PI())+$H$2/2/$I$2*SIN(2*A2/180*PI()))</f>
        <v>0</v>
      </c>
      <c r="D2" s="14">
        <f aca="true" t="shared" si="2" ref="D2:D65">2*(PI())^2*($J$2/60)^2*2*$H$2/1000*(COS(A2/180*PI())+$H$2/$I$2*COS(2*A2/180*PI()))</f>
        <v>39416.71804563094</v>
      </c>
      <c r="E2" s="15">
        <f>D2/1000</f>
        <v>39.416718045630944</v>
      </c>
      <c r="H2" s="16">
        <f>78/2</f>
        <v>39</v>
      </c>
      <c r="I2" s="17">
        <v>141.5</v>
      </c>
      <c r="J2" s="17">
        <v>8500</v>
      </c>
      <c r="K2" s="18">
        <f>MAX(C2:C74)</f>
        <v>35.92372287679772</v>
      </c>
      <c r="L2" s="19">
        <f>H2*J2/15000</f>
        <v>22.1</v>
      </c>
      <c r="M2" s="11"/>
      <c r="N2" s="11"/>
      <c r="O2" s="2">
        <v>0</v>
      </c>
      <c r="P2" s="27" t="e">
        <f>(B2-Kinematik!B2)/Kinematik!B2*100</f>
        <v>#DIV/0!</v>
      </c>
      <c r="Q2" s="27" t="e">
        <f>(C2-Kinematik!C2)/Kinematik!C2*100</f>
        <v>#DIV/0!</v>
      </c>
      <c r="R2" s="27">
        <f>(D2-Kinematik!D2)/Kinematik!D2*100</f>
        <v>-5.5377195070581796E-14</v>
      </c>
    </row>
    <row r="3" spans="1:18" ht="12.75">
      <c r="A3" s="20">
        <v>5</v>
      </c>
      <c r="B3" s="25">
        <f t="shared" si="0"/>
        <v>0.18923847428738316</v>
      </c>
      <c r="C3" s="25">
        <f t="shared" si="1"/>
        <v>3.856307902951367</v>
      </c>
      <c r="D3" s="26">
        <f t="shared" si="2"/>
        <v>39169.747116944214</v>
      </c>
      <c r="E3" s="21">
        <f aca="true" t="shared" si="3" ref="E3:E66">D3/1000</f>
        <v>39.169747116944215</v>
      </c>
      <c r="G3" s="11"/>
      <c r="H3" s="11"/>
      <c r="I3" s="11"/>
      <c r="J3" s="11"/>
      <c r="K3" s="11"/>
      <c r="L3" s="11"/>
      <c r="M3" s="11"/>
      <c r="N3" s="11"/>
      <c r="O3" s="2">
        <v>5</v>
      </c>
      <c r="P3" s="27">
        <f>(B3-Kinematik!B3)/Kinematik!B3*100</f>
        <v>-1.4080304066782403E-12</v>
      </c>
      <c r="Q3" s="27">
        <f>(C3-Kinematik!C3)/Kinematik!C3*100</f>
        <v>-0.006217677697846389</v>
      </c>
      <c r="R3" s="27">
        <f>(D3-Kinematik!D3)/Kinematik!D3*100</f>
        <v>-0.0186392482056904</v>
      </c>
    </row>
    <row r="4" spans="1:18" ht="12.75">
      <c r="A4" s="20">
        <v>10</v>
      </c>
      <c r="B4" s="25">
        <f t="shared" si="0"/>
        <v>0.7546533086921641</v>
      </c>
      <c r="C4" s="25">
        <f t="shared" si="1"/>
        <v>7.6643479918279676</v>
      </c>
      <c r="D4" s="26">
        <f t="shared" si="2"/>
        <v>38433.66056888198</v>
      </c>
      <c r="E4" s="21">
        <f t="shared" si="3"/>
        <v>38.43366056888198</v>
      </c>
      <c r="O4" s="2">
        <v>10</v>
      </c>
      <c r="P4" s="27">
        <f>(B4-Kinematik!B4)/Kinematik!B4*100</f>
        <v>-4.531202442842789E-12</v>
      </c>
      <c r="Q4" s="27">
        <f>(C4-Kinematik!C4)/Kinematik!C4*100</f>
        <v>-0.024486917926932594</v>
      </c>
      <c r="R4" s="27">
        <f>(D4-Kinematik!D4)/Kinematik!D4*100</f>
        <v>-0.07323434296928778</v>
      </c>
    </row>
    <row r="5" spans="1:18" ht="12.75">
      <c r="A5" s="20">
        <v>15</v>
      </c>
      <c r="B5" s="25">
        <f t="shared" si="0"/>
        <v>1.6893791026930622</v>
      </c>
      <c r="C5" s="25">
        <f t="shared" si="1"/>
        <v>11.376794643472746</v>
      </c>
      <c r="D5" s="26">
        <f t="shared" si="2"/>
        <v>37222.81085268431</v>
      </c>
      <c r="E5" s="21">
        <f t="shared" si="3"/>
        <v>37.22281085268431</v>
      </c>
      <c r="O5" s="2">
        <v>15</v>
      </c>
      <c r="P5" s="27">
        <f>(B5-Kinematik!B5)/Kinematik!B5*100</f>
        <v>1.314356289663269E-13</v>
      </c>
      <c r="Q5" s="27">
        <f>(C5-Kinematik!C5)/Kinematik!C5*100</f>
        <v>-0.053671957143938576</v>
      </c>
      <c r="R5" s="27">
        <f>(D5-Kinematik!D5)/Kinematik!D5*100</f>
        <v>-0.15981918935974176</v>
      </c>
    </row>
    <row r="6" spans="1:18" ht="12.75">
      <c r="A6" s="20">
        <v>20</v>
      </c>
      <c r="B6" s="25">
        <f t="shared" si="0"/>
        <v>2.9820946290579062</v>
      </c>
      <c r="C6" s="25">
        <f t="shared" si="1"/>
        <v>14.948181979587092</v>
      </c>
      <c r="D6" s="26">
        <f t="shared" si="2"/>
        <v>35560.70152589718</v>
      </c>
      <c r="E6" s="21">
        <f t="shared" si="3"/>
        <v>35.56070152589718</v>
      </c>
      <c r="O6" s="2">
        <v>20</v>
      </c>
      <c r="P6" s="27">
        <f>(B6-Kinematik!B6)/Kinematik!B6*100</f>
        <v>-8.935113034766852E-13</v>
      </c>
      <c r="Q6" s="27">
        <f>(C6-Kinematik!C6)/Kinematik!C6*100</f>
        <v>-0.09193185272897908</v>
      </c>
      <c r="R6" s="27">
        <f>(D6-Kinematik!D6)/Kinematik!D6*100</f>
        <v>-0.2717822943821358</v>
      </c>
    </row>
    <row r="7" spans="1:18" ht="12.75">
      <c r="A7" s="20">
        <v>25</v>
      </c>
      <c r="B7" s="25">
        <f t="shared" si="0"/>
        <v>4.617204051134239</v>
      </c>
      <c r="C7" s="25">
        <f t="shared" si="1"/>
        <v>18.335772864925687</v>
      </c>
      <c r="D7" s="26">
        <f t="shared" si="2"/>
        <v>33479.37423455559</v>
      </c>
      <c r="E7" s="21">
        <f t="shared" si="3"/>
        <v>33.479374234555586</v>
      </c>
      <c r="O7" s="2">
        <v>25</v>
      </c>
      <c r="P7" s="27">
        <f>(B7-Kinematik!B7)/Kinematik!B7*100</f>
        <v>-4.231982172978167E-13</v>
      </c>
      <c r="Q7" s="27">
        <f>(C7-Kinematik!C7)/Kinematik!C7*100</f>
        <v>-0.1367982318605197</v>
      </c>
      <c r="R7" s="27">
        <f>(D7-Kinematik!D7)/Kinematik!D7*100</f>
        <v>-0.3998348782880484</v>
      </c>
    </row>
    <row r="8" spans="1:18" ht="12.75">
      <c r="A8" s="20">
        <v>30</v>
      </c>
      <c r="B8" s="25">
        <f t="shared" si="0"/>
        <v>6.575089523567923</v>
      </c>
      <c r="C8" s="25">
        <f t="shared" si="1"/>
        <v>21.50035684580129</v>
      </c>
      <c r="D8" s="26">
        <f t="shared" si="2"/>
        <v>31018.575641092953</v>
      </c>
      <c r="E8" s="21">
        <f t="shared" si="3"/>
        <v>31.018575641092955</v>
      </c>
      <c r="O8" s="2">
        <v>30</v>
      </c>
      <c r="P8" s="27">
        <f>(B8-Kinematik!B8)/Kinematik!B8*100</f>
        <v>-4.592799255669657E-13</v>
      </c>
      <c r="Q8" s="27">
        <f>(C8-Kinematik!C8)/Kinematik!C8*100</f>
        <v>-0.18528343829574317</v>
      </c>
      <c r="R8" s="27">
        <f>(D8-Kinematik!D8)/Kinematik!D8*100</f>
        <v>-0.5318911867746081</v>
      </c>
    </row>
    <row r="9" spans="1:18" ht="12.75">
      <c r="A9" s="20">
        <v>35</v>
      </c>
      <c r="B9" s="25">
        <f t="shared" si="0"/>
        <v>8.832433575786164</v>
      </c>
      <c r="C9" s="25">
        <f t="shared" si="1"/>
        <v>24.40695659386894</v>
      </c>
      <c r="D9" s="26">
        <f t="shared" si="2"/>
        <v>28224.728541182983</v>
      </c>
      <c r="E9" s="21">
        <f t="shared" si="3"/>
        <v>28.224728541182984</v>
      </c>
      <c r="O9" s="2">
        <v>35</v>
      </c>
      <c r="P9" s="27">
        <f>(B9-Kinematik!B9)/Kinematik!B9*100</f>
        <v>-2.6145273229691684E-13</v>
      </c>
      <c r="Q9" s="27">
        <f>(C9-Kinematik!C9)/Kinematik!C9*100</f>
        <v>-0.23401789341878598</v>
      </c>
      <c r="R9" s="27">
        <f>(D9-Kinematik!D9)/Kinematik!D9*100</f>
        <v>-0.6527391357636725</v>
      </c>
    </row>
    <row r="10" spans="1:18" ht="12.75">
      <c r="A10" s="20">
        <v>40</v>
      </c>
      <c r="B10" s="25">
        <f t="shared" si="0"/>
        <v>11.362608538099401</v>
      </c>
      <c r="C10" s="25">
        <f t="shared" si="1"/>
        <v>27.025425080984448</v>
      </c>
      <c r="D10" s="26">
        <f t="shared" si="2"/>
        <v>25149.737070839165</v>
      </c>
      <c r="E10" s="21">
        <f t="shared" si="3"/>
        <v>25.149737070839166</v>
      </c>
      <c r="O10" s="2">
        <v>40</v>
      </c>
      <c r="P10" s="27">
        <f>(B10-Kinematik!B10)/Kinematik!B10*100</f>
        <v>-1.5633354202461815E-13</v>
      </c>
      <c r="Q10" s="27">
        <f>(C10-Kinematik!C10)/Kinematik!C10*100</f>
        <v>-0.27941448358495125</v>
      </c>
      <c r="R10" s="27">
        <f>(D10-Kinematik!D10)/Kinematik!D10*100</f>
        <v>-0.743236384647255</v>
      </c>
    </row>
    <row r="11" spans="1:18" ht="12.75">
      <c r="A11" s="20">
        <v>45</v>
      </c>
      <c r="B11" s="25">
        <f t="shared" si="0"/>
        <v>14.136128677484265</v>
      </c>
      <c r="C11" s="25">
        <f t="shared" si="1"/>
        <v>29.33091888372964</v>
      </c>
      <c r="D11" s="26">
        <f t="shared" si="2"/>
        <v>21849.660665036055</v>
      </c>
      <c r="E11" s="21">
        <f t="shared" si="3"/>
        <v>21.849660665036055</v>
      </c>
      <c r="O11" s="2">
        <v>45</v>
      </c>
      <c r="P11" s="27">
        <f>(B11-Kinematik!B11)/Kinematik!B11*100</f>
        <v>5.0264308706515836E-14</v>
      </c>
      <c r="Q11" s="27">
        <f>(C11-Kinematik!C11)/Kinematik!C11*100</f>
        <v>-0.31785633301818</v>
      </c>
      <c r="R11" s="27">
        <f>(D11-Kinematik!D11)/Kinematik!D11*100</f>
        <v>-0.77841531838261</v>
      </c>
    </row>
    <row r="12" spans="1:18" ht="12.75">
      <c r="A12" s="20">
        <v>50</v>
      </c>
      <c r="B12" s="25">
        <f t="shared" si="0"/>
        <v>17.121158643854702</v>
      </c>
      <c r="C12" s="25">
        <f t="shared" si="1"/>
        <v>31.304236605682252</v>
      </c>
      <c r="D12" s="26">
        <f t="shared" si="2"/>
        <v>18383.2951483862</v>
      </c>
      <c r="E12" s="21">
        <f t="shared" si="3"/>
        <v>18.383295148386203</v>
      </c>
      <c r="O12" s="2">
        <v>50</v>
      </c>
      <c r="P12" s="27">
        <f>(B12-Kinematik!B12)/Kinematik!B12*100</f>
        <v>-8.300171157109565E-14</v>
      </c>
      <c r="Q12" s="27">
        <f>(C12-Kinematik!C12)/Kinematik!C12*100</f>
        <v>-0.3459023992783684</v>
      </c>
      <c r="R12" s="27">
        <f>(D12-Kinematik!D12)/Kinematik!D12*100</f>
        <v>-0.7229130865796675</v>
      </c>
    </row>
    <row r="13" spans="1:18" ht="12.75">
      <c r="A13" s="20">
        <v>55</v>
      </c>
      <c r="B13" s="25">
        <f t="shared" si="0"/>
        <v>20.284069332705133</v>
      </c>
      <c r="C13" s="25">
        <f t="shared" si="1"/>
        <v>32.93201530394455</v>
      </c>
      <c r="D13" s="26">
        <f t="shared" si="2"/>
        <v>14810.701906043789</v>
      </c>
      <c r="E13" s="21">
        <f t="shared" si="3"/>
        <v>14.81070190604379</v>
      </c>
      <c r="O13" s="2">
        <v>55</v>
      </c>
      <c r="P13" s="27">
        <f>(B13-Kinematik!B13)/Kinematik!B13*100</f>
        <v>0</v>
      </c>
      <c r="Q13" s="27">
        <f>(C13-Kinematik!C13)/Kinematik!C13*100</f>
        <v>-0.36050298782942636</v>
      </c>
      <c r="R13" s="27">
        <f>(D13-Kinematik!D13)/Kinematik!D13*100</f>
        <v>-0.5190651493249648</v>
      </c>
    </row>
    <row r="14" spans="1:18" ht="12.75">
      <c r="A14" s="20">
        <v>60</v>
      </c>
      <c r="B14" s="25">
        <f t="shared" si="0"/>
        <v>23.59002947384056</v>
      </c>
      <c r="C14" s="25">
        <f t="shared" si="1"/>
        <v>34.20678189689985</v>
      </c>
      <c r="D14" s="26">
        <f t="shared" si="2"/>
        <v>11191.727422928458</v>
      </c>
      <c r="E14" s="21">
        <f t="shared" si="3"/>
        <v>11.191727422928457</v>
      </c>
      <c r="O14" s="2">
        <v>60</v>
      </c>
      <c r="P14" s="27">
        <f>(B14-Kinematik!B14)/Kinematik!B14*100</f>
        <v>-1.0542163916828163E-13</v>
      </c>
      <c r="Q14" s="27">
        <f>(C14-Kinematik!C14)/Kinematik!C14*100</f>
        <v>-0.35921467313241723</v>
      </c>
      <c r="R14" s="27">
        <f>(D14-Kinematik!D14)/Kinematik!D14*100</f>
        <v>-0.05104043568684985</v>
      </c>
    </row>
    <row r="15" spans="1:18" ht="12.75">
      <c r="A15" s="20">
        <v>65</v>
      </c>
      <c r="B15" s="25">
        <f t="shared" si="0"/>
        <v>27.003618378911124</v>
      </c>
      <c r="C15" s="25">
        <f t="shared" si="1"/>
        <v>35.12686069005911</v>
      </c>
      <c r="D15" s="26">
        <f t="shared" si="2"/>
        <v>7584.555552665422</v>
      </c>
      <c r="E15" s="21">
        <f t="shared" si="3"/>
        <v>7.584555552665422</v>
      </c>
      <c r="O15" s="2">
        <v>65</v>
      </c>
      <c r="P15" s="27">
        <f>(B15-Kinematik!B15)/Kinematik!B15*100</f>
        <v>-2.631287132671853E-14</v>
      </c>
      <c r="Q15" s="27">
        <f>(C15-Kinematik!C15)/Kinematik!C15*100</f>
        <v>-0.34040150423573884</v>
      </c>
      <c r="R15" s="27">
        <f>(D15-Kinematik!D15)/Kinematik!D15*100</f>
        <v>0.9944444365068237</v>
      </c>
    </row>
    <row r="16" spans="1:18" ht="12.75">
      <c r="A16" s="20">
        <v>70</v>
      </c>
      <c r="B16" s="25">
        <f t="shared" si="0"/>
        <v>30.48944263204173</v>
      </c>
      <c r="C16" s="25">
        <f t="shared" si="1"/>
        <v>35.69614226167009</v>
      </c>
      <c r="D16" s="26">
        <f t="shared" si="2"/>
        <v>4044.333683763953</v>
      </c>
      <c r="E16" s="21">
        <f t="shared" si="3"/>
        <v>4.044333683763953</v>
      </c>
      <c r="O16" s="2">
        <v>70</v>
      </c>
      <c r="P16" s="27">
        <f>(B16-Kinematik!B16)/Kinematik!B16*100</f>
        <v>-2.3304549851409286E-14</v>
      </c>
      <c r="Q16" s="27">
        <f>(C16-Kinematik!C16)/Kinematik!C16*100</f>
        <v>-0.3034071544259071</v>
      </c>
      <c r="R16" s="27">
        <f>(D16-Kinematik!D16)/Kinematik!D16*100</f>
        <v>4.020425189323242</v>
      </c>
    </row>
    <row r="17" spans="1:18" ht="12.75">
      <c r="A17" s="20">
        <v>75</v>
      </c>
      <c r="B17" s="25">
        <f t="shared" si="0"/>
        <v>34.012737461688666</v>
      </c>
      <c r="C17" s="25">
        <f t="shared" si="1"/>
        <v>35.92372287679772</v>
      </c>
      <c r="D17" s="26">
        <f t="shared" si="2"/>
        <v>621.9115472973212</v>
      </c>
      <c r="E17" s="21">
        <f t="shared" si="3"/>
        <v>0.6219115472973212</v>
      </c>
      <c r="O17" s="2">
        <v>75</v>
      </c>
      <c r="P17" s="27">
        <f>(B17-Kinematik!B17)/Kinematik!B17*100</f>
        <v>-6.267146858383059E-14</v>
      </c>
      <c r="Q17" s="27">
        <f>(C17-Kinematik!C17)/Kinematik!C17*100</f>
        <v>-0.24868133936156422</v>
      </c>
      <c r="R17" s="27">
        <f>(D17-Kinematik!D17)/Kinematik!D17*100</f>
        <v>59.09254446440897</v>
      </c>
    </row>
    <row r="18" spans="1:18" ht="12.75">
      <c r="A18" s="20">
        <v>80</v>
      </c>
      <c r="B18" s="25">
        <f t="shared" si="0"/>
        <v>37.53993247784044</v>
      </c>
      <c r="C18" s="25">
        <f t="shared" si="1"/>
        <v>35.823427230698805</v>
      </c>
      <c r="D18" s="26">
        <f t="shared" si="2"/>
        <v>-2637.2721673118663</v>
      </c>
      <c r="E18" s="21">
        <f t="shared" si="3"/>
        <v>-2.6372721673118664</v>
      </c>
      <c r="O18" s="2">
        <v>80</v>
      </c>
      <c r="P18" s="27">
        <f>(B18-Kinematik!B18)/Kinematik!B18*100</f>
        <v>-3.785530174725425E-14</v>
      </c>
      <c r="Q18" s="27">
        <f>(C18-Kinematik!C18)/Kinematik!C18*100</f>
        <v>-0.17784391188603307</v>
      </c>
      <c r="R18" s="27">
        <f>(D18-Kinematik!D18)/Kinematik!D18*100</f>
        <v>-9.936000675254583</v>
      </c>
    </row>
    <row r="19" spans="1:18" ht="12.75">
      <c r="A19" s="20">
        <v>85</v>
      </c>
      <c r="B19" s="25">
        <f t="shared" si="0"/>
        <v>41.039161735026134</v>
      </c>
      <c r="C19" s="25">
        <f t="shared" si="1"/>
        <v>35.41323055144334</v>
      </c>
      <c r="D19" s="26">
        <f t="shared" si="2"/>
        <v>-5694.124843971838</v>
      </c>
      <c r="E19" s="21">
        <f t="shared" si="3"/>
        <v>-5.694124843971839</v>
      </c>
      <c r="O19" s="2">
        <v>85</v>
      </c>
      <c r="P19" s="27">
        <f>(B19-Kinematik!B19)/Kinematik!B19*100</f>
        <v>-1.7313773130840183E-14</v>
      </c>
      <c r="Q19" s="27">
        <f>(C19-Kinematik!C19)/Kinematik!C19*100</f>
        <v>-0.09367202974201025</v>
      </c>
      <c r="R19" s="27">
        <f>(D19-Kinematik!D19)/Kinematik!D19*100</f>
        <v>-5.473943412446255</v>
      </c>
    </row>
    <row r="20" spans="1:18" ht="12.75">
      <c r="A20" s="20">
        <v>90</v>
      </c>
      <c r="B20" s="25">
        <f t="shared" si="0"/>
        <v>44.48069989887463</v>
      </c>
      <c r="C20" s="25">
        <f t="shared" si="1"/>
        <v>34.71459882216722</v>
      </c>
      <c r="D20" s="26">
        <f t="shared" si="2"/>
        <v>-8516.631599887018</v>
      </c>
      <c r="E20" s="21">
        <f t="shared" si="3"/>
        <v>-8.516631599887019</v>
      </c>
      <c r="O20" s="2">
        <v>90</v>
      </c>
      <c r="P20" s="27">
        <f>(B20-Kinematik!B20)/Kinematik!B20*100</f>
        <v>0</v>
      </c>
      <c r="Q20" s="27">
        <f>(C20-Kinematik!C20)/Kinematik!C20*100</f>
        <v>0</v>
      </c>
      <c r="R20" s="27">
        <f>(D20-Kinematik!D20)/Kinematik!D20*100</f>
        <v>-3.873286147614545</v>
      </c>
    </row>
    <row r="21" spans="1:18" ht="12.75">
      <c r="A21" s="20">
        <v>95</v>
      </c>
      <c r="B21" s="25">
        <f t="shared" si="0"/>
        <v>47.83730966934347</v>
      </c>
      <c r="C21" s="25">
        <f t="shared" si="1"/>
        <v>33.751768034606535</v>
      </c>
      <c r="D21" s="26">
        <f t="shared" si="2"/>
        <v>-11080.364814263161</v>
      </c>
      <c r="E21" s="21">
        <f t="shared" si="3"/>
        <v>-11.080364814263161</v>
      </c>
      <c r="O21" s="2">
        <v>95</v>
      </c>
      <c r="P21" s="27">
        <f>(B21-Kinematik!B21)/Kinematik!B21*100</f>
        <v>-2.9706634452123095E-14</v>
      </c>
      <c r="Q21" s="27">
        <f>(C21-Kinematik!C21)/Kinematik!C21*100</f>
        <v>0.09847214584026492</v>
      </c>
      <c r="R21" s="27">
        <f>(D21-Kinematik!D21)/Kinematik!D21*100</f>
        <v>-2.889921161010266</v>
      </c>
    </row>
    <row r="22" spans="1:18" ht="12.75">
      <c r="A22" s="20">
        <v>100</v>
      </c>
      <c r="B22" s="25">
        <f t="shared" si="0"/>
        <v>51.08449033586099</v>
      </c>
      <c r="C22" s="25">
        <f t="shared" si="1"/>
        <v>32.55098489485868</v>
      </c>
      <c r="D22" s="26">
        <f t="shared" si="2"/>
        <v>-13368.759569419964</v>
      </c>
      <c r="E22" s="21">
        <f t="shared" si="3"/>
        <v>-13.368759569419964</v>
      </c>
      <c r="O22" s="2">
        <v>100</v>
      </c>
      <c r="P22" s="27">
        <f>(B22-Kinematik!B22)/Kinematik!B22*100</f>
        <v>-5.5636670236978224E-14</v>
      </c>
      <c r="Q22" s="27">
        <f>(C22-Kinematik!C22)/Kinematik!C22*100</f>
        <v>0.19645696035676233</v>
      </c>
      <c r="R22" s="27">
        <f>(D22-Kinematik!D22)/Kinematik!D22*100</f>
        <v>-2.1299721974527555</v>
      </c>
    </row>
    <row r="23" spans="1:18" ht="12.75">
      <c r="A23" s="20">
        <v>105</v>
      </c>
      <c r="B23" s="25">
        <f t="shared" si="0"/>
        <v>54.200622979685285</v>
      </c>
      <c r="C23" s="25">
        <f t="shared" si="1"/>
        <v>31.13973222639305</v>
      </c>
      <c r="D23" s="26">
        <f t="shared" si="2"/>
        <v>-15373.150187648256</v>
      </c>
      <c r="E23" s="21">
        <f t="shared" si="3"/>
        <v>-15.373150187648257</v>
      </c>
      <c r="O23" s="2">
        <v>105</v>
      </c>
      <c r="P23" s="27">
        <f>(B23-Kinematik!B23)/Kinematik!B23*100</f>
        <v>-3.9328481668545516E-14</v>
      </c>
      <c r="Q23" s="27">
        <f>(C23-Kinematik!C23)/Kinematik!C23*100</f>
        <v>0.2884309448460459</v>
      </c>
      <c r="R23" s="27">
        <f>(D23-Kinematik!D23)/Kinematik!D23*100</f>
        <v>-1.480373727969875</v>
      </c>
    </row>
    <row r="24" spans="1:18" ht="12.75">
      <c r="A24" s="20">
        <v>110</v>
      </c>
      <c r="B24" s="25">
        <f t="shared" si="0"/>
        <v>57.167013811443866</v>
      </c>
      <c r="C24" s="25">
        <f t="shared" si="1"/>
        <v>29.545962431797353</v>
      </c>
      <c r="D24" s="26">
        <f t="shared" si="2"/>
        <v>-17092.570306133835</v>
      </c>
      <c r="E24" s="21">
        <f t="shared" si="3"/>
        <v>-17.092570306133837</v>
      </c>
      <c r="O24" s="2">
        <v>110</v>
      </c>
      <c r="P24" s="27">
        <f>(B24-Kinematik!B24)/Kinematik!B24*100</f>
        <v>-6.214621758132319E-14</v>
      </c>
      <c r="Q24" s="27">
        <f>(C24-Kinematik!C24)/Kinematik!C24*100</f>
        <v>0.36903571178655387</v>
      </c>
      <c r="R24" s="27">
        <f>(D24-Kinematik!D24)/Kinematik!D24*100</f>
        <v>-0.9062318249390278</v>
      </c>
    </row>
    <row r="25" spans="1:18" ht="12.75">
      <c r="A25" s="20">
        <v>115</v>
      </c>
      <c r="B25" s="25">
        <f t="shared" si="0"/>
        <v>59.967842794685666</v>
      </c>
      <c r="C25" s="25">
        <f t="shared" si="1"/>
        <v>27.797361782707828</v>
      </c>
      <c r="D25" s="26">
        <f t="shared" si="2"/>
        <v>-18533.32609000987</v>
      </c>
      <c r="E25" s="21">
        <f t="shared" si="3"/>
        <v>-18.53332609000987</v>
      </c>
      <c r="O25" s="2">
        <v>115</v>
      </c>
      <c r="P25" s="27">
        <f>(B25-Kinematik!B25)/Kinematik!B25*100</f>
        <v>-2.3697458592693223E-14</v>
      </c>
      <c r="Q25" s="27">
        <f>(C25-Kinematik!C25)/Kinematik!C25*100</f>
        <v>0.4334975861218381</v>
      </c>
      <c r="R25" s="27">
        <f>(D25-Kinematik!D25)/Kinematik!D25*100</f>
        <v>-0.401340788382187</v>
      </c>
    </row>
    <row r="26" spans="1:18" ht="12.75">
      <c r="A26" s="20">
        <v>120</v>
      </c>
      <c r="B26" s="25">
        <f t="shared" si="0"/>
        <v>62.59002947384056</v>
      </c>
      <c r="C26" s="25">
        <f t="shared" si="1"/>
        <v>25.920667027464482</v>
      </c>
      <c r="D26" s="26">
        <f t="shared" si="2"/>
        <v>-19708.359022815468</v>
      </c>
      <c r="E26" s="21">
        <f t="shared" si="3"/>
        <v>-19.70835902281547</v>
      </c>
      <c r="O26" s="2">
        <v>120</v>
      </c>
      <c r="P26" s="27">
        <f>(B26-Kinematik!B26)/Kinematik!B26*100</f>
        <v>-3.4056993185651264E-14</v>
      </c>
      <c r="Q26" s="27">
        <f>(C26-Kinematik!C26)/Kinematik!C26*100</f>
        <v>0.4780288174295785</v>
      </c>
      <c r="R26" s="27">
        <f>(D26-Kinematik!D26)/Kinematik!D26*100</f>
        <v>0.02900739398597812</v>
      </c>
    </row>
    <row r="27" spans="1:18" ht="12.75">
      <c r="A27" s="20">
        <v>125</v>
      </c>
      <c r="B27" s="25">
        <f t="shared" si="0"/>
        <v>65.02303136808672</v>
      </c>
      <c r="C27" s="25">
        <f t="shared" si="1"/>
        <v>23.941053879756463</v>
      </c>
      <c r="D27" s="26">
        <f t="shared" si="2"/>
        <v>-20636.42102693434</v>
      </c>
      <c r="E27" s="21">
        <f t="shared" si="3"/>
        <v>-20.63642102693434</v>
      </c>
      <c r="O27" s="2">
        <v>125</v>
      </c>
      <c r="P27" s="27">
        <f>(B27-Kinematik!B27)/Kinematik!B27*100</f>
        <v>0</v>
      </c>
      <c r="Q27" s="27">
        <f>(C27-Kinematik!C27)/Kinematik!C27*100</f>
        <v>0.5001717865277563</v>
      </c>
      <c r="R27" s="27">
        <f>(D27-Kinematik!D27)/Kinematik!D27*100</f>
        <v>0.3758829726730537</v>
      </c>
    </row>
    <row r="28" spans="1:18" ht="12.75">
      <c r="A28" s="20">
        <v>130</v>
      </c>
      <c r="B28" s="25">
        <f t="shared" si="0"/>
        <v>67.25859219940477</v>
      </c>
      <c r="C28" s="25">
        <f t="shared" si="1"/>
        <v>21.88161443996938</v>
      </c>
      <c r="D28" s="26">
        <f t="shared" si="2"/>
        <v>-21341.090262748145</v>
      </c>
      <c r="E28" s="21">
        <f t="shared" si="3"/>
        <v>-21.341090262748146</v>
      </c>
      <c r="O28" s="2">
        <v>130</v>
      </c>
      <c r="P28" s="27">
        <f>(B28-Kinematik!B28)/Kinematik!B28*100</f>
        <v>-2.1128682968966103E-14</v>
      </c>
      <c r="Q28" s="27">
        <f>(C28-Kinematik!C28)/Kinematik!C28*100</f>
        <v>0.49905007641660154</v>
      </c>
      <c r="R28" s="27">
        <f>(D28-Kinematik!D28)/Kinematik!D28*100</f>
        <v>0.6312138654744676</v>
      </c>
    </row>
    <row r="29" spans="1:18" ht="12.75">
      <c r="A29" s="20">
        <v>135</v>
      </c>
      <c r="B29" s="25">
        <f t="shared" si="0"/>
        <v>69.29045761003498</v>
      </c>
      <c r="C29" s="25">
        <f t="shared" si="1"/>
        <v>19.76293758292031</v>
      </c>
      <c r="D29" s="26">
        <f t="shared" si="2"/>
        <v>-21849.66066503605</v>
      </c>
      <c r="E29" s="21">
        <f t="shared" si="3"/>
        <v>-21.84966066503605</v>
      </c>
      <c r="O29" s="2">
        <v>135</v>
      </c>
      <c r="P29" s="27">
        <f>(B29-Kinematik!B29)/Kinematik!B29*100</f>
        <v>2.050910789935947E-14</v>
      </c>
      <c r="Q29" s="27">
        <f>(C29-Kinematik!C29)/Kinematik!C29*100</f>
        <v>0.47549705671709325</v>
      </c>
      <c r="R29" s="27">
        <f>(D29-Kinematik!D29)/Kinematik!D29*100</f>
        <v>0.7907255764088312</v>
      </c>
    </row>
    <row r="30" spans="1:18" ht="12.75">
      <c r="A30" s="20">
        <v>140</v>
      </c>
      <c r="B30" s="25">
        <f t="shared" si="0"/>
        <v>71.11407510137968</v>
      </c>
      <c r="C30" s="25">
        <f t="shared" si="1"/>
        <v>17.60280291527159</v>
      </c>
      <c r="D30" s="26">
        <f t="shared" si="2"/>
        <v>-22191.941956477214</v>
      </c>
      <c r="E30" s="21">
        <f t="shared" si="3"/>
        <v>-22.191941956477216</v>
      </c>
      <c r="O30" s="2">
        <v>140</v>
      </c>
      <c r="P30" s="27">
        <f>(B30-Kinematik!B30)/Kinematik!B30*100</f>
        <v>-1.998318152200266E-14</v>
      </c>
      <c r="Q30" s="27">
        <f>(C30-Kinematik!C30)/Kinematik!C30*100</f>
        <v>0.43204312560352787</v>
      </c>
      <c r="R30" s="27">
        <f>(D30-Kinematik!D30)/Kinematik!D30*100</f>
        <v>0.855866758747582</v>
      </c>
    </row>
    <row r="31" spans="1:18" ht="12.75">
      <c r="A31" s="20">
        <v>145</v>
      </c>
      <c r="B31" s="25">
        <f t="shared" si="0"/>
        <v>72.72629303032753</v>
      </c>
      <c r="C31" s="25">
        <f t="shared" si="1"/>
        <v>15.415995169680842</v>
      </c>
      <c r="D31" s="26">
        <f t="shared" si="2"/>
        <v>-22399.009420292427</v>
      </c>
      <c r="E31" s="21">
        <f t="shared" si="3"/>
        <v>-22.399009420292426</v>
      </c>
      <c r="O31" s="2">
        <v>145</v>
      </c>
      <c r="P31" s="27">
        <f>(B31-Kinematik!B31)/Kinematik!B31*100</f>
        <v>-1.9540188456018163E-14</v>
      </c>
      <c r="Q31" s="27">
        <f>(C31-Kinematik!C31)/Kinematik!C31*100</f>
        <v>0.37275587332467414</v>
      </c>
      <c r="R31" s="27">
        <f>(D31-Kinematik!D31)/Kinematik!D31*100</f>
        <v>0.8348246484429906</v>
      </c>
    </row>
    <row r="32" spans="1:18" ht="12.75">
      <c r="A32" s="20">
        <v>150</v>
      </c>
      <c r="B32" s="25">
        <f t="shared" si="0"/>
        <v>74.12507101875413</v>
      </c>
      <c r="C32" s="25">
        <f t="shared" si="1"/>
        <v>13.214241976365924</v>
      </c>
      <c r="D32" s="26">
        <f t="shared" si="2"/>
        <v>-22501.944041205938</v>
      </c>
      <c r="E32" s="21">
        <f t="shared" si="3"/>
        <v>-22.501944041205938</v>
      </c>
      <c r="O32" s="2">
        <v>150</v>
      </c>
      <c r="P32" s="27">
        <f>(B32-Kinematik!B32)/Kinematik!B32*100</f>
        <v>-5.751436532832416E-14</v>
      </c>
      <c r="Q32" s="27">
        <f>(C32-Kinematik!C32)/Kinematik!C32*100</f>
        <v>0.3029417337993224</v>
      </c>
      <c r="R32" s="27">
        <f>(D32-Kinematik!D32)/Kinematik!D32*100</f>
        <v>0.7425981993926808</v>
      </c>
    </row>
    <row r="33" spans="1:18" ht="12.75">
      <c r="A33" s="20">
        <v>155</v>
      </c>
      <c r="B33" s="25">
        <f t="shared" si="0"/>
        <v>75.30921143999294</v>
      </c>
      <c r="C33" s="25">
        <f t="shared" si="1"/>
        <v>11.006273957574402</v>
      </c>
      <c r="D33" s="26">
        <f t="shared" si="2"/>
        <v>-22530.603697211136</v>
      </c>
      <c r="E33" s="21">
        <f t="shared" si="3"/>
        <v>-22.530603697211134</v>
      </c>
      <c r="O33" s="2">
        <v>155</v>
      </c>
      <c r="P33" s="27">
        <f>(B33-Kinematik!B33)/Kinematik!B33*100</f>
        <v>-3.7740017305918374E-14</v>
      </c>
      <c r="Q33" s="27">
        <f>(C33-Kinematik!C33)/Kinematik!C33*100</f>
        <v>0.22873158220282097</v>
      </c>
      <c r="R33" s="27">
        <f>(D33-Kinematik!D33)/Kinematik!D33*100</f>
        <v>0.600099869748939</v>
      </c>
    </row>
    <row r="34" spans="1:18" ht="12.75">
      <c r="A34" s="20">
        <v>160</v>
      </c>
      <c r="B34" s="25">
        <f t="shared" si="0"/>
        <v>76.27811905035874</v>
      </c>
      <c r="C34" s="25">
        <f t="shared" si="1"/>
        <v>8.798002149714357</v>
      </c>
      <c r="D34" s="26">
        <f t="shared" si="2"/>
        <v>-22512.464903527292</v>
      </c>
      <c r="E34" s="21">
        <f t="shared" si="3"/>
        <v>-22.51246490352729</v>
      </c>
      <c r="O34" s="2">
        <v>160</v>
      </c>
      <c r="P34" s="27">
        <f>(B34-Kinematik!B34)/Kinematik!B34*100</f>
        <v>-5.589094838253682E-14</v>
      </c>
      <c r="Q34" s="27">
        <f>(C34-Kinematik!C34)/Kinematik!C34*100</f>
        <v>0.15658468053559402</v>
      </c>
      <c r="R34" s="27">
        <f>(D34-Kinematik!D34)/Kinematik!D34*100</f>
        <v>0.43233853782353016</v>
      </c>
    </row>
    <row r="35" spans="1:18" ht="12.75">
      <c r="A35" s="20">
        <v>165</v>
      </c>
      <c r="B35" s="25">
        <f t="shared" si="0"/>
        <v>77.03159355324037</v>
      </c>
      <c r="C35" s="25">
        <f t="shared" si="1"/>
        <v>6.592803993068084</v>
      </c>
      <c r="D35" s="26">
        <f t="shared" si="2"/>
        <v>-22471.572212333376</v>
      </c>
      <c r="E35" s="21">
        <f t="shared" si="3"/>
        <v>-22.471572212333378</v>
      </c>
      <c r="O35" s="2">
        <v>165</v>
      </c>
      <c r="P35" s="27">
        <f>(B35-Kinematik!B35)/Kinematik!B35*100</f>
        <v>-1.8448086115965097E-14</v>
      </c>
      <c r="Q35" s="27">
        <f>(C35-Kinematik!C35)/Kinematik!C35*100</f>
        <v>0.09275407161722313</v>
      </c>
      <c r="R35" s="27">
        <f>(D35-Kinematik!D35)/Kinematik!D35*100</f>
        <v>0.2658596036143176</v>
      </c>
    </row>
    <row r="36" spans="1:18" ht="12.75">
      <c r="A36" s="20">
        <v>170</v>
      </c>
      <c r="B36" s="25">
        <f t="shared" si="0"/>
        <v>77.5696580436444</v>
      </c>
      <c r="C36" s="25">
        <f t="shared" si="1"/>
        <v>4.391905655987848</v>
      </c>
      <c r="D36" s="26">
        <f t="shared" si="2"/>
        <v>-22427.62883215015</v>
      </c>
      <c r="E36" s="21">
        <f t="shared" si="3"/>
        <v>-22.42762883215015</v>
      </c>
      <c r="O36" s="2">
        <v>170</v>
      </c>
      <c r="P36" s="27">
        <f>(B36-Kinematik!B36)/Kinematik!B36*100</f>
        <v>-3.664024071681815E-14</v>
      </c>
      <c r="Q36" s="27">
        <f>(C36-Kinematik!C36)/Kinematik!C36*100</f>
        <v>0.04276105051775164</v>
      </c>
      <c r="R36" s="27">
        <f>(D36-Kinematik!D36)/Kinematik!D36*100</f>
        <v>0.1257497499548236</v>
      </c>
    </row>
    <row r="37" spans="1:18" ht="12.75">
      <c r="A37" s="20">
        <v>175</v>
      </c>
      <c r="B37" s="25">
        <f t="shared" si="0"/>
        <v>77.89242492544352</v>
      </c>
      <c r="C37" s="25">
        <f t="shared" si="1"/>
        <v>2.1948453861145603</v>
      </c>
      <c r="D37" s="26">
        <f t="shared" si="2"/>
        <v>-22395.25745870921</v>
      </c>
      <c r="E37" s="21">
        <f t="shared" si="3"/>
        <v>-22.39525745870921</v>
      </c>
      <c r="O37" s="2">
        <v>175</v>
      </c>
      <c r="P37" s="27">
        <f>(B37-Kinematik!B37)/Kinematik!B37*100</f>
        <v>-3.648841265066336E-14</v>
      </c>
      <c r="Q37" s="27">
        <f>(C37-Kinematik!C37)/Kinematik!C37*100</f>
        <v>0.010926232295770201</v>
      </c>
      <c r="R37" s="27">
        <f>(D37-Kinematik!D37)/Kinematik!D37*100</f>
        <v>0.03261712573815472</v>
      </c>
    </row>
    <row r="38" spans="1:18" ht="12.75">
      <c r="A38" s="20">
        <v>180</v>
      </c>
      <c r="B38" s="25">
        <f t="shared" si="0"/>
        <v>77.99999999999999</v>
      </c>
      <c r="C38" s="25">
        <f t="shared" si="1"/>
        <v>3.0808339602469636E-15</v>
      </c>
      <c r="D38" s="26">
        <f t="shared" si="2"/>
        <v>-22383.45484585691</v>
      </c>
      <c r="E38" s="21">
        <f t="shared" si="3"/>
        <v>-22.38345484585691</v>
      </c>
      <c r="O38" s="2">
        <v>180</v>
      </c>
      <c r="P38" s="27">
        <f>(B38-Kinematik!B38)/Kinematik!B38*100</f>
        <v>-1.8219044506669234E-14</v>
      </c>
      <c r="Q38" s="27">
        <f>(C38-Kinematik!C38)/Kinematik!C38*100</f>
        <v>0</v>
      </c>
      <c r="R38" s="27">
        <f>(D38-Kinematik!D38)/Kinematik!D38*100</f>
        <v>3.25059632853334E-14</v>
      </c>
    </row>
    <row r="39" spans="1:18" ht="12.75">
      <c r="A39" s="20">
        <v>185</v>
      </c>
      <c r="B39" s="25">
        <f t="shared" si="0"/>
        <v>77.89242492544352</v>
      </c>
      <c r="C39" s="25">
        <f t="shared" si="1"/>
        <v>-2.194845386114554</v>
      </c>
      <c r="D39" s="26">
        <f t="shared" si="2"/>
        <v>-22395.257458709206</v>
      </c>
      <c r="E39" s="21">
        <f t="shared" si="3"/>
        <v>-22.395257458709207</v>
      </c>
      <c r="O39" s="2">
        <v>185</v>
      </c>
      <c r="P39" s="27">
        <f>(B39-Kinematik!B39)/Kinematik!B39*100</f>
        <v>-3.648841265066336E-14</v>
      </c>
      <c r="Q39" s="27">
        <f>(C39-Kinematik!C39)/Kinematik!C39*100</f>
        <v>0.010926232296296412</v>
      </c>
      <c r="R39" s="27">
        <f>(D39-Kinematik!D39)/Kinematik!D39*100</f>
        <v>0.03261712573815473</v>
      </c>
    </row>
    <row r="40" spans="1:18" ht="12.75">
      <c r="A40" s="20">
        <v>190</v>
      </c>
      <c r="B40" s="25">
        <f t="shared" si="0"/>
        <v>77.5696580436444</v>
      </c>
      <c r="C40" s="25">
        <f t="shared" si="1"/>
        <v>-4.391905655987843</v>
      </c>
      <c r="D40" s="26">
        <f t="shared" si="2"/>
        <v>-22427.62883215015</v>
      </c>
      <c r="E40" s="21">
        <f t="shared" si="3"/>
        <v>-22.42762883215015</v>
      </c>
      <c r="O40" s="2">
        <v>190</v>
      </c>
      <c r="P40" s="27">
        <f>(B40-Kinematik!B40)/Kinematik!B40*100</f>
        <v>-3.664024071681815E-14</v>
      </c>
      <c r="Q40" s="27">
        <f>(C40-Kinematik!C40)/Kinematik!C40*100</f>
        <v>0.04276105051750881</v>
      </c>
      <c r="R40" s="27">
        <f>(D40-Kinematik!D40)/Kinematik!D40*100</f>
        <v>0.1257497499548236</v>
      </c>
    </row>
    <row r="41" spans="1:18" ht="12.75">
      <c r="A41" s="20">
        <v>195</v>
      </c>
      <c r="B41" s="25">
        <f t="shared" si="0"/>
        <v>77.0315935532404</v>
      </c>
      <c r="C41" s="25">
        <f t="shared" si="1"/>
        <v>-6.592803993068066</v>
      </c>
      <c r="D41" s="26">
        <f t="shared" si="2"/>
        <v>-22471.572212333376</v>
      </c>
      <c r="E41" s="21">
        <f t="shared" si="3"/>
        <v>-22.471572212333378</v>
      </c>
      <c r="O41" s="2">
        <v>195</v>
      </c>
      <c r="P41" s="27">
        <f>(B41-Kinematik!B41)/Kinematik!B41*100</f>
        <v>1.8448086115965097E-14</v>
      </c>
      <c r="Q41" s="27">
        <f>(C41-Kinematik!C41)/Kinematik!C41*100</f>
        <v>0.09275407161722338</v>
      </c>
      <c r="R41" s="27">
        <f>(D41-Kinematik!D41)/Kinematik!D41*100</f>
        <v>0.2658596036143013</v>
      </c>
    </row>
    <row r="42" spans="1:18" ht="12.75">
      <c r="A42" s="20">
        <v>200</v>
      </c>
      <c r="B42" s="25">
        <f t="shared" si="0"/>
        <v>76.27811905035878</v>
      </c>
      <c r="C42" s="25">
        <f t="shared" si="1"/>
        <v>-8.79800214971435</v>
      </c>
      <c r="D42" s="26">
        <f t="shared" si="2"/>
        <v>-22512.464903527296</v>
      </c>
      <c r="E42" s="21">
        <f t="shared" si="3"/>
        <v>-22.512464903527295</v>
      </c>
      <c r="O42" s="2">
        <v>200</v>
      </c>
      <c r="P42" s="27">
        <f>(B42-Kinematik!B42)/Kinematik!B42*100</f>
        <v>0</v>
      </c>
      <c r="Q42" s="27">
        <f>(C42-Kinematik!C42)/Kinematik!C42*100</f>
        <v>0.15658468053559416</v>
      </c>
      <c r="R42" s="27">
        <f>(D42-Kinematik!D42)/Kinematik!D42*100</f>
        <v>0.43233853782354636</v>
      </c>
    </row>
    <row r="43" spans="1:18" ht="12.75">
      <c r="A43" s="20">
        <v>205</v>
      </c>
      <c r="B43" s="25">
        <f t="shared" si="0"/>
        <v>75.30921143999294</v>
      </c>
      <c r="C43" s="25">
        <f t="shared" si="1"/>
        <v>-11.006273957574393</v>
      </c>
      <c r="D43" s="26">
        <f t="shared" si="2"/>
        <v>-22530.603697211136</v>
      </c>
      <c r="E43" s="21">
        <f t="shared" si="3"/>
        <v>-22.530603697211134</v>
      </c>
      <c r="O43" s="2">
        <v>205</v>
      </c>
      <c r="P43" s="27">
        <f>(B43-Kinematik!B43)/Kinematik!B43*100</f>
        <v>-3.7740017305918374E-14</v>
      </c>
      <c r="Q43" s="27">
        <f>(C43-Kinematik!C43)/Kinematik!C43*100</f>
        <v>0.22873158220278875</v>
      </c>
      <c r="R43" s="27">
        <f>(D43-Kinematik!D43)/Kinematik!D43*100</f>
        <v>0.600099869748939</v>
      </c>
    </row>
    <row r="44" spans="1:18" ht="12.75">
      <c r="A44" s="20">
        <v>210</v>
      </c>
      <c r="B44" s="25">
        <f t="shared" si="0"/>
        <v>74.12507101875413</v>
      </c>
      <c r="C44" s="25">
        <f t="shared" si="1"/>
        <v>-13.21424197636593</v>
      </c>
      <c r="D44" s="26">
        <f t="shared" si="2"/>
        <v>-22501.944041205938</v>
      </c>
      <c r="E44" s="21">
        <f t="shared" si="3"/>
        <v>-22.501944041205938</v>
      </c>
      <c r="O44" s="2">
        <v>210</v>
      </c>
      <c r="P44" s="27">
        <f>(B44-Kinematik!B44)/Kinematik!B44*100</f>
        <v>-5.751436532832416E-14</v>
      </c>
      <c r="Q44" s="27">
        <f>(C44-Kinematik!C44)/Kinematik!C44*100</f>
        <v>0.3029417337993222</v>
      </c>
      <c r="R44" s="27">
        <f>(D44-Kinematik!D44)/Kinematik!D44*100</f>
        <v>0.7425981993926972</v>
      </c>
    </row>
    <row r="45" spans="1:18" ht="12.75">
      <c r="A45" s="20">
        <v>215</v>
      </c>
      <c r="B45" s="25">
        <f t="shared" si="0"/>
        <v>72.72629303032753</v>
      </c>
      <c r="C45" s="25">
        <f t="shared" si="1"/>
        <v>-15.41599516968084</v>
      </c>
      <c r="D45" s="26">
        <f t="shared" si="2"/>
        <v>-22399.009420292427</v>
      </c>
      <c r="E45" s="21">
        <f t="shared" si="3"/>
        <v>-22.399009420292426</v>
      </c>
      <c r="O45" s="2">
        <v>215</v>
      </c>
      <c r="P45" s="27">
        <f>(B45-Kinematik!B45)/Kinematik!B45*100</f>
        <v>-3.9080376912036314E-14</v>
      </c>
      <c r="Q45" s="27">
        <f>(C45-Kinematik!C45)/Kinematik!C45*100</f>
        <v>0.372755873324767</v>
      </c>
      <c r="R45" s="27">
        <f>(D45-Kinematik!D45)/Kinematik!D45*100</f>
        <v>0.8348246484429906</v>
      </c>
    </row>
    <row r="46" spans="1:18" ht="12.75">
      <c r="A46" s="20">
        <v>220</v>
      </c>
      <c r="B46" s="25">
        <f t="shared" si="0"/>
        <v>71.11407510137968</v>
      </c>
      <c r="C46" s="25">
        <f t="shared" si="1"/>
        <v>-17.602802915271585</v>
      </c>
      <c r="D46" s="26">
        <f t="shared" si="2"/>
        <v>-22191.94195647721</v>
      </c>
      <c r="E46" s="21">
        <f t="shared" si="3"/>
        <v>-22.191941956477212</v>
      </c>
      <c r="O46" s="2">
        <v>220</v>
      </c>
      <c r="P46" s="27">
        <f>(B46-Kinematik!B46)/Kinematik!B46*100</f>
        <v>-1.998318152200266E-14</v>
      </c>
      <c r="Q46" s="27">
        <f>(C46-Kinematik!C46)/Kinematik!C46*100</f>
        <v>0.4320431256035686</v>
      </c>
      <c r="R46" s="27">
        <f>(D46-Kinematik!D46)/Kinematik!D46*100</f>
        <v>0.8558667587475656</v>
      </c>
    </row>
    <row r="47" spans="1:18" ht="12.75">
      <c r="A47" s="20">
        <v>225</v>
      </c>
      <c r="B47" s="25">
        <f t="shared" si="0"/>
        <v>69.29045761003498</v>
      </c>
      <c r="C47" s="25">
        <f t="shared" si="1"/>
        <v>-19.762937582920305</v>
      </c>
      <c r="D47" s="26">
        <f t="shared" si="2"/>
        <v>-21849.660665036055</v>
      </c>
      <c r="E47" s="21">
        <f t="shared" si="3"/>
        <v>-21.849660665036055</v>
      </c>
      <c r="O47" s="2">
        <v>225</v>
      </c>
      <c r="P47" s="27">
        <f>(B47-Kinematik!B47)/Kinematik!B47*100</f>
        <v>0</v>
      </c>
      <c r="Q47" s="27">
        <f>(C47-Kinematik!C47)/Kinematik!C47*100</f>
        <v>0.47549705671711157</v>
      </c>
      <c r="R47" s="27">
        <f>(D47-Kinematik!D47)/Kinematik!D47*100</f>
        <v>0.790725576408848</v>
      </c>
    </row>
    <row r="48" spans="1:18" ht="12.75">
      <c r="A48" s="20">
        <v>230</v>
      </c>
      <c r="B48" s="25">
        <f t="shared" si="0"/>
        <v>67.25859219940477</v>
      </c>
      <c r="C48" s="25">
        <f t="shared" si="1"/>
        <v>-21.881614439969375</v>
      </c>
      <c r="D48" s="26">
        <f t="shared" si="2"/>
        <v>-21341.090262748145</v>
      </c>
      <c r="E48" s="21">
        <f t="shared" si="3"/>
        <v>-21.341090262748146</v>
      </c>
      <c r="O48" s="2">
        <v>230</v>
      </c>
      <c r="P48" s="27">
        <f>(B48-Kinematik!B48)/Kinematik!B48*100</f>
        <v>-2.1128682968966103E-14</v>
      </c>
      <c r="Q48" s="27">
        <f>(C48-Kinematik!C48)/Kinematik!C48*100</f>
        <v>0.4990500764166016</v>
      </c>
      <c r="R48" s="27">
        <f>(D48-Kinematik!D48)/Kinematik!D48*100</f>
        <v>0.6312138654744849</v>
      </c>
    </row>
    <row r="49" spans="1:18" ht="12.75">
      <c r="A49" s="20">
        <v>235</v>
      </c>
      <c r="B49" s="25">
        <f t="shared" si="0"/>
        <v>65.02303136808672</v>
      </c>
      <c r="C49" s="25">
        <f t="shared" si="1"/>
        <v>-23.94105387975645</v>
      </c>
      <c r="D49" s="26">
        <f t="shared" si="2"/>
        <v>-20636.421026934342</v>
      </c>
      <c r="E49" s="21">
        <f t="shared" si="3"/>
        <v>-20.636421026934343</v>
      </c>
      <c r="O49" s="2">
        <v>235</v>
      </c>
      <c r="P49" s="27">
        <f>(B49-Kinematik!B49)/Kinematik!B49*100</f>
        <v>-4.371021902918134E-14</v>
      </c>
      <c r="Q49" s="27">
        <f>(C49-Kinematik!C49)/Kinematik!C49*100</f>
        <v>0.5001717865277565</v>
      </c>
      <c r="R49" s="27">
        <f>(D49-Kinematik!D49)/Kinematik!D49*100</f>
        <v>0.3758829726730181</v>
      </c>
    </row>
    <row r="50" spans="1:18" ht="12.75">
      <c r="A50" s="20">
        <v>240</v>
      </c>
      <c r="B50" s="25">
        <f t="shared" si="0"/>
        <v>62.59002947384056</v>
      </c>
      <c r="C50" s="25">
        <f t="shared" si="1"/>
        <v>-25.920667027464468</v>
      </c>
      <c r="D50" s="26">
        <f t="shared" si="2"/>
        <v>-19708.35902281548</v>
      </c>
      <c r="E50" s="21">
        <f t="shared" si="3"/>
        <v>-19.70835902281548</v>
      </c>
      <c r="O50" s="2">
        <v>240</v>
      </c>
      <c r="P50" s="27">
        <f>(B50-Kinematik!B50)/Kinematik!B50*100</f>
        <v>-6.81139863713025E-14</v>
      </c>
      <c r="Q50" s="27">
        <f>(C50-Kinematik!C50)/Kinematik!C50*100</f>
        <v>0.47802881742957876</v>
      </c>
      <c r="R50" s="27">
        <f>(D50-Kinematik!D50)/Kinematik!D50*100</f>
        <v>0.02900739398599658</v>
      </c>
    </row>
    <row r="51" spans="1:18" ht="12.75">
      <c r="A51" s="20">
        <v>245</v>
      </c>
      <c r="B51" s="25">
        <f t="shared" si="0"/>
        <v>59.967842794685666</v>
      </c>
      <c r="C51" s="25">
        <f t="shared" si="1"/>
        <v>-27.797361782707828</v>
      </c>
      <c r="D51" s="26">
        <f t="shared" si="2"/>
        <v>-18533.326090009865</v>
      </c>
      <c r="E51" s="21">
        <f t="shared" si="3"/>
        <v>-18.533326090009865</v>
      </c>
      <c r="O51" s="2">
        <v>245</v>
      </c>
      <c r="P51" s="27">
        <f>(B51-Kinematik!B51)/Kinematik!B51*100</f>
        <v>-7.109237577807962E-14</v>
      </c>
      <c r="Q51" s="27">
        <f>(C51-Kinematik!C51)/Kinematik!C51*100</f>
        <v>0.43349758612190253</v>
      </c>
      <c r="R51" s="27">
        <f>(D51-Kinematik!D51)/Kinematik!D51*100</f>
        <v>-0.4013407883822845</v>
      </c>
    </row>
    <row r="52" spans="1:18" ht="12.75">
      <c r="A52" s="20">
        <v>250</v>
      </c>
      <c r="B52" s="25">
        <f t="shared" si="0"/>
        <v>57.1670138114439</v>
      </c>
      <c r="C52" s="25">
        <f t="shared" si="1"/>
        <v>-29.54596243179734</v>
      </c>
      <c r="D52" s="26">
        <f t="shared" si="2"/>
        <v>-17092.570306133846</v>
      </c>
      <c r="E52" s="21">
        <f t="shared" si="3"/>
        <v>-17.092570306133847</v>
      </c>
      <c r="O52" s="2">
        <v>250</v>
      </c>
      <c r="P52" s="27">
        <f>(B52-Kinematik!B52)/Kinematik!B52*100</f>
        <v>-3.72877305487939E-14</v>
      </c>
      <c r="Q52" s="27">
        <f>(C52-Kinematik!C52)/Kinematik!C52*100</f>
        <v>0.36903571178656613</v>
      </c>
      <c r="R52" s="27">
        <f>(D52-Kinematik!D52)/Kinematik!D52*100</f>
        <v>-0.906231824939048</v>
      </c>
    </row>
    <row r="53" spans="1:18" ht="12.75">
      <c r="A53" s="20">
        <v>255</v>
      </c>
      <c r="B53" s="25">
        <f t="shared" si="0"/>
        <v>54.200622979685285</v>
      </c>
      <c r="C53" s="25">
        <f t="shared" si="1"/>
        <v>-31.139732226393054</v>
      </c>
      <c r="D53" s="26">
        <f t="shared" si="2"/>
        <v>-15373.15018764825</v>
      </c>
      <c r="E53" s="21">
        <f t="shared" si="3"/>
        <v>-15.373150187648251</v>
      </c>
      <c r="O53" s="2">
        <v>255</v>
      </c>
      <c r="P53" s="27">
        <f>(B53-Kinematik!B53)/Kinematik!B53*100</f>
        <v>-2.6218987779030348E-14</v>
      </c>
      <c r="Q53" s="27">
        <f>(C53-Kinematik!C53)/Kinematik!C53*100</f>
        <v>0.28843094484604587</v>
      </c>
      <c r="R53" s="27">
        <f>(D53-Kinematik!D53)/Kinematik!D53*100</f>
        <v>-1.480373727969864</v>
      </c>
    </row>
    <row r="54" spans="1:18" ht="12.75">
      <c r="A54" s="20">
        <v>260</v>
      </c>
      <c r="B54" s="25">
        <f t="shared" si="0"/>
        <v>51.08449033586099</v>
      </c>
      <c r="C54" s="25">
        <f t="shared" si="1"/>
        <v>-32.55098489485868</v>
      </c>
      <c r="D54" s="26">
        <f t="shared" si="2"/>
        <v>-13368.759569419964</v>
      </c>
      <c r="E54" s="21">
        <f t="shared" si="3"/>
        <v>-13.368759569419964</v>
      </c>
      <c r="O54" s="2">
        <v>260</v>
      </c>
      <c r="P54" s="27">
        <f>(B54-Kinematik!B54)/Kinematik!B54*100</f>
        <v>-5.5636670236978224E-14</v>
      </c>
      <c r="Q54" s="27">
        <f>(C54-Kinematik!C54)/Kinematik!C54*100</f>
        <v>0.19645696035676233</v>
      </c>
      <c r="R54" s="27">
        <f>(D54-Kinematik!D54)/Kinematik!D54*100</f>
        <v>-2.1299721974527555</v>
      </c>
    </row>
    <row r="55" spans="1:18" ht="12.75">
      <c r="A55" s="20">
        <v>265</v>
      </c>
      <c r="B55" s="25">
        <f t="shared" si="0"/>
        <v>47.83730966934347</v>
      </c>
      <c r="C55" s="25">
        <f t="shared" si="1"/>
        <v>-33.751768034606535</v>
      </c>
      <c r="D55" s="26">
        <f t="shared" si="2"/>
        <v>-11080.364814263161</v>
      </c>
      <c r="E55" s="21">
        <f t="shared" si="3"/>
        <v>-11.080364814263161</v>
      </c>
      <c r="O55" s="2">
        <v>265</v>
      </c>
      <c r="P55" s="27">
        <f>(B55-Kinematik!B55)/Kinematik!B55*100</f>
        <v>-2.9706634452123095E-14</v>
      </c>
      <c r="Q55" s="27">
        <f>(C55-Kinematik!C55)/Kinematik!C55*100</f>
        <v>0.09847214584026492</v>
      </c>
      <c r="R55" s="27">
        <f>(D55-Kinematik!D55)/Kinematik!D55*100</f>
        <v>-2.889921161010266</v>
      </c>
    </row>
    <row r="56" spans="1:18" ht="12.75">
      <c r="A56" s="20">
        <v>270</v>
      </c>
      <c r="B56" s="25">
        <f t="shared" si="0"/>
        <v>44.48069989887463</v>
      </c>
      <c r="C56" s="25">
        <f t="shared" si="1"/>
        <v>-34.71459882216722</v>
      </c>
      <c r="D56" s="26">
        <f t="shared" si="2"/>
        <v>-8516.631599887025</v>
      </c>
      <c r="E56" s="21">
        <f t="shared" si="3"/>
        <v>-8.516631599887026</v>
      </c>
      <c r="O56" s="2">
        <v>270</v>
      </c>
      <c r="P56" s="27">
        <f>(B56-Kinematik!B56)/Kinematik!B56*100</f>
        <v>-1.5974180653080884E-14</v>
      </c>
      <c r="Q56" s="27">
        <f>(C56-Kinematik!C56)/Kinematik!C56*100</f>
        <v>0</v>
      </c>
      <c r="R56" s="27">
        <f>(D56-Kinematik!D56)/Kinematik!D56*100</f>
        <v>-3.8732861476145417</v>
      </c>
    </row>
    <row r="57" spans="1:18" ht="12.75">
      <c r="A57" s="20">
        <v>275</v>
      </c>
      <c r="B57" s="25">
        <f t="shared" si="0"/>
        <v>41.039161735026134</v>
      </c>
      <c r="C57" s="25">
        <f t="shared" si="1"/>
        <v>-35.413230551443334</v>
      </c>
      <c r="D57" s="26">
        <f t="shared" si="2"/>
        <v>-5694.124843971855</v>
      </c>
      <c r="E57" s="21">
        <f t="shared" si="3"/>
        <v>-5.694124843971855</v>
      </c>
      <c r="O57" s="2">
        <v>275</v>
      </c>
      <c r="P57" s="27">
        <f>(B57-Kinematik!B57)/Kinematik!B57*100</f>
        <v>-5.194131939252053E-14</v>
      </c>
      <c r="Q57" s="27">
        <f>(C57-Kinematik!C57)/Kinematik!C57*100</f>
        <v>-0.09367202974201028</v>
      </c>
      <c r="R57" s="27">
        <f>(D57-Kinematik!D57)/Kinematik!D57*100</f>
        <v>-5.473943412446054</v>
      </c>
    </row>
    <row r="58" spans="1:18" ht="12.75">
      <c r="A58" s="20">
        <v>280</v>
      </c>
      <c r="B58" s="25">
        <f t="shared" si="0"/>
        <v>37.53993247784044</v>
      </c>
      <c r="C58" s="25">
        <f t="shared" si="1"/>
        <v>-35.823427230698805</v>
      </c>
      <c r="D58" s="26">
        <f t="shared" si="2"/>
        <v>-2637.2721673118835</v>
      </c>
      <c r="E58" s="21">
        <f t="shared" si="3"/>
        <v>-2.6372721673118837</v>
      </c>
      <c r="O58" s="2">
        <v>280</v>
      </c>
      <c r="P58" s="27">
        <f>(B58-Kinematik!B58)/Kinematik!B58*100</f>
        <v>-7.571060349450848E-14</v>
      </c>
      <c r="Q58" s="27">
        <f>(C58-Kinematik!C58)/Kinematik!C58*100</f>
        <v>-0.17784391188605286</v>
      </c>
      <c r="R58" s="27">
        <f>(D58-Kinematik!D58)/Kinematik!D58*100</f>
        <v>-9.93600067525451</v>
      </c>
    </row>
    <row r="59" spans="1:18" ht="12.75">
      <c r="A59" s="20">
        <v>285</v>
      </c>
      <c r="B59" s="25">
        <f t="shared" si="0"/>
        <v>34.012737461688715</v>
      </c>
      <c r="C59" s="25">
        <f t="shared" si="1"/>
        <v>-35.92372287679772</v>
      </c>
      <c r="D59" s="26">
        <f t="shared" si="2"/>
        <v>621.9115472973033</v>
      </c>
      <c r="E59" s="21">
        <f t="shared" si="3"/>
        <v>0.6219115472973032</v>
      </c>
      <c r="O59" s="2">
        <v>285</v>
      </c>
      <c r="P59" s="27">
        <f>(B59-Kinematik!B59)/Kinematik!B59*100</f>
        <v>1.2534293716766126E-13</v>
      </c>
      <c r="Q59" s="27">
        <f>(C59-Kinematik!C59)/Kinematik!C59*100</f>
        <v>-0.24868133936156422</v>
      </c>
      <c r="R59" s="27">
        <f>(D59-Kinematik!D59)/Kinematik!D59*100</f>
        <v>59.09254446439755</v>
      </c>
    </row>
    <row r="60" spans="1:18" ht="12.75">
      <c r="A60" s="20">
        <v>290</v>
      </c>
      <c r="B60" s="25">
        <f t="shared" si="0"/>
        <v>30.489442632041694</v>
      </c>
      <c r="C60" s="25">
        <f t="shared" si="1"/>
        <v>-35.6961422616701</v>
      </c>
      <c r="D60" s="26">
        <f t="shared" si="2"/>
        <v>4044.33368376396</v>
      </c>
      <c r="E60" s="21">
        <f t="shared" si="3"/>
        <v>4.04433368376396</v>
      </c>
      <c r="O60" s="2">
        <v>290</v>
      </c>
      <c r="P60" s="27">
        <f>(B60-Kinematik!B60)/Kinematik!B60*100</f>
        <v>-2.2139322358838803E-13</v>
      </c>
      <c r="Q60" s="27">
        <f>(C60-Kinematik!C60)/Kinematik!C60*100</f>
        <v>-0.3034071544258872</v>
      </c>
      <c r="R60" s="27">
        <f>(D60-Kinematik!D60)/Kinematik!D60*100</f>
        <v>4.0204251893241105</v>
      </c>
    </row>
    <row r="61" spans="1:18" ht="12.75">
      <c r="A61" s="20">
        <v>295</v>
      </c>
      <c r="B61" s="25">
        <f t="shared" si="0"/>
        <v>27.00361837891116</v>
      </c>
      <c r="C61" s="25">
        <f t="shared" si="1"/>
        <v>-35.12686069005911</v>
      </c>
      <c r="D61" s="26">
        <f t="shared" si="2"/>
        <v>7584.555552665394</v>
      </c>
      <c r="E61" s="21">
        <f t="shared" si="3"/>
        <v>7.584555552665394</v>
      </c>
      <c r="O61" s="2">
        <v>295</v>
      </c>
      <c r="P61" s="27">
        <f>(B61-Kinematik!B61)/Kinematik!B61*100</f>
        <v>1.184079209702334E-13</v>
      </c>
      <c r="Q61" s="27">
        <f>(C61-Kinematik!C61)/Kinematik!C61*100</f>
        <v>-0.34040150423573884</v>
      </c>
      <c r="R61" s="27">
        <f>(D61-Kinematik!D61)/Kinematik!D61*100</f>
        <v>0.994444436506387</v>
      </c>
    </row>
    <row r="62" spans="1:18" ht="12.75">
      <c r="A62" s="20">
        <v>300</v>
      </c>
      <c r="B62" s="25">
        <f t="shared" si="0"/>
        <v>23.59002947384056</v>
      </c>
      <c r="C62" s="25">
        <f t="shared" si="1"/>
        <v>-34.20678189689985</v>
      </c>
      <c r="D62" s="26">
        <f t="shared" si="2"/>
        <v>11191.727422928458</v>
      </c>
      <c r="E62" s="21">
        <f t="shared" si="3"/>
        <v>11.191727422928457</v>
      </c>
      <c r="O62" s="2">
        <v>300</v>
      </c>
      <c r="P62" s="27">
        <f>(B62-Kinematik!B62)/Kinematik!B62*100</f>
        <v>-1.0542163916828163E-13</v>
      </c>
      <c r="Q62" s="27">
        <f>(C62-Kinematik!C62)/Kinematik!C62*100</f>
        <v>-0.35921467313241723</v>
      </c>
      <c r="R62" s="27">
        <f>(D62-Kinematik!D62)/Kinematik!D62*100</f>
        <v>-0.05104043568684985</v>
      </c>
    </row>
    <row r="63" spans="1:18" ht="12.75">
      <c r="A63" s="20">
        <v>305</v>
      </c>
      <c r="B63" s="25">
        <f t="shared" si="0"/>
        <v>20.284069332705133</v>
      </c>
      <c r="C63" s="25">
        <f t="shared" si="1"/>
        <v>-32.93201530394455</v>
      </c>
      <c r="D63" s="26">
        <f t="shared" si="2"/>
        <v>14810.701906043785</v>
      </c>
      <c r="E63" s="21">
        <f t="shared" si="3"/>
        <v>14.810701906043786</v>
      </c>
      <c r="O63" s="2">
        <v>305</v>
      </c>
      <c r="P63" s="27">
        <f>(B63-Kinematik!B63)/Kinematik!B63*100</f>
        <v>-1.7514797551358505E-14</v>
      </c>
      <c r="Q63" s="27">
        <f>(C63-Kinematik!C63)/Kinematik!C63*100</f>
        <v>-0.36050298782942636</v>
      </c>
      <c r="R63" s="27">
        <f>(D63-Kinematik!D63)/Kinematik!D63*100</f>
        <v>-0.5190651493249528</v>
      </c>
    </row>
    <row r="64" spans="1:18" ht="12.75">
      <c r="A64" s="20">
        <v>310</v>
      </c>
      <c r="B64" s="25">
        <f t="shared" si="0"/>
        <v>17.121158643854702</v>
      </c>
      <c r="C64" s="25">
        <f t="shared" si="1"/>
        <v>-31.304236605682252</v>
      </c>
      <c r="D64" s="26">
        <f t="shared" si="2"/>
        <v>18383.295148386194</v>
      </c>
      <c r="E64" s="21">
        <f t="shared" si="3"/>
        <v>18.383295148386193</v>
      </c>
      <c r="O64" s="2">
        <v>310</v>
      </c>
      <c r="P64" s="27">
        <f>(B64-Kinematik!B64)/Kinematik!B64*100</f>
        <v>-1.0375213946386955E-13</v>
      </c>
      <c r="Q64" s="27">
        <f>(C64-Kinematik!C64)/Kinematik!C64*100</f>
        <v>-0.3459023992783797</v>
      </c>
      <c r="R64" s="27">
        <f>(D64-Kinematik!D64)/Kinematik!D64*100</f>
        <v>-0.7229130865796678</v>
      </c>
    </row>
    <row r="65" spans="1:18" ht="12.75">
      <c r="A65" s="20">
        <v>315</v>
      </c>
      <c r="B65" s="25">
        <f t="shared" si="0"/>
        <v>14.136128677484265</v>
      </c>
      <c r="C65" s="25">
        <f t="shared" si="1"/>
        <v>-29.33091888372965</v>
      </c>
      <c r="D65" s="26">
        <f t="shared" si="2"/>
        <v>21849.660665036045</v>
      </c>
      <c r="E65" s="21">
        <f t="shared" si="3"/>
        <v>21.849660665036044</v>
      </c>
      <c r="O65" s="2">
        <v>315</v>
      </c>
      <c r="P65" s="27">
        <f>(B65-Kinematik!B65)/Kinematik!B65*100</f>
        <v>-2.5132154353257896E-14</v>
      </c>
      <c r="Q65" s="27">
        <f>(C65-Kinematik!C65)/Kinematik!C65*100</f>
        <v>-0.31785633301816785</v>
      </c>
      <c r="R65" s="27">
        <f>(D65-Kinematik!D65)/Kinematik!D65*100</f>
        <v>-0.7784153183826104</v>
      </c>
    </row>
    <row r="66" spans="1:18" ht="12.75">
      <c r="A66" s="20">
        <v>320</v>
      </c>
      <c r="B66" s="25">
        <f aca="true" t="shared" si="4" ref="B66:B74">$H$2*(1+$I$2/$H$2-COS(A66/180*PI())-SQRT(($I$2/$H$2)^2-(SIN(A66/180*PI())^2)))</f>
        <v>11.362608538099401</v>
      </c>
      <c r="C66" s="25">
        <f aca="true" t="shared" si="5" ref="C66:C74">2*PI()*$J$2/60*$H$2/1000*(SIN(A66/180*PI())+$H$2/2/$I$2*SIN(2*A66/180*PI()))</f>
        <v>-27.025425080984466</v>
      </c>
      <c r="D66" s="26">
        <f aca="true" t="shared" si="6" ref="D66:D74">2*(PI())^2*($J$2/60)^2*2*$H$2/1000*(COS(A66/180*PI())+$H$2/$I$2*COS(2*A66/180*PI()))</f>
        <v>25149.73707083915</v>
      </c>
      <c r="E66" s="21">
        <f t="shared" si="3"/>
        <v>25.14973707083915</v>
      </c>
      <c r="O66" s="2">
        <v>320</v>
      </c>
      <c r="P66" s="27">
        <f>(B66-Kinematik!B66)/Kinematik!B66*100</f>
        <v>-2.1886695883446525E-13</v>
      </c>
      <c r="Q66" s="27">
        <f>(C66-Kinematik!C66)/Kinematik!C66*100</f>
        <v>-0.279414483584938</v>
      </c>
      <c r="R66" s="27">
        <f>(D66-Kinematik!D66)/Kinematik!D66*100</f>
        <v>-0.7432363846472555</v>
      </c>
    </row>
    <row r="67" spans="1:18" ht="12.75">
      <c r="A67" s="20">
        <v>325</v>
      </c>
      <c r="B67" s="25">
        <f t="shared" si="4"/>
        <v>8.83243357578618</v>
      </c>
      <c r="C67" s="25">
        <f t="shared" si="5"/>
        <v>-24.406956593868955</v>
      </c>
      <c r="D67" s="26">
        <f t="shared" si="6"/>
        <v>28224.72854118297</v>
      </c>
      <c r="E67" s="21">
        <f aca="true" t="shared" si="7" ref="E67:E74">D67/1000</f>
        <v>28.22472854118297</v>
      </c>
      <c r="O67" s="2">
        <v>325</v>
      </c>
      <c r="P67" s="27">
        <f>(B67-Kinematik!B67)/Kinematik!B67*100</f>
        <v>-2.011174863822435E-13</v>
      </c>
      <c r="Q67" s="27">
        <f>(C67-Kinematik!C67)/Kinematik!C67*100</f>
        <v>-0.23401789341880036</v>
      </c>
      <c r="R67" s="27">
        <f>(D67-Kinematik!D67)/Kinematik!D67*100</f>
        <v>-0.6527391357636728</v>
      </c>
    </row>
    <row r="68" spans="1:18" ht="12.75">
      <c r="A68" s="20">
        <v>330</v>
      </c>
      <c r="B68" s="25">
        <f t="shared" si="4"/>
        <v>6.575089523567941</v>
      </c>
      <c r="C68" s="25">
        <f t="shared" si="5"/>
        <v>-21.500356845801313</v>
      </c>
      <c r="D68" s="26">
        <f t="shared" si="6"/>
        <v>31018.575641092935</v>
      </c>
      <c r="E68" s="21">
        <f t="shared" si="7"/>
        <v>31.018575641092934</v>
      </c>
      <c r="O68" s="2">
        <v>330</v>
      </c>
      <c r="P68" s="27">
        <f>(B68-Kinematik!B68)/Kinematik!B68*100</f>
        <v>-4.0524699314732183E-13</v>
      </c>
      <c r="Q68" s="27">
        <f>(C68-Kinematik!C68)/Kinematik!C68*100</f>
        <v>-0.18528343829572652</v>
      </c>
      <c r="R68" s="27">
        <f>(D68-Kinematik!D68)/Kinematik!D68*100</f>
        <v>-0.5318911867746084</v>
      </c>
    </row>
    <row r="69" spans="1:18" ht="12.75">
      <c r="A69" s="20">
        <v>335</v>
      </c>
      <c r="B69" s="25">
        <f t="shared" si="4"/>
        <v>4.617204051134239</v>
      </c>
      <c r="C69" s="25">
        <f t="shared" si="5"/>
        <v>-18.335772864925673</v>
      </c>
      <c r="D69" s="26">
        <f t="shared" si="6"/>
        <v>33479.374234555595</v>
      </c>
      <c r="E69" s="21">
        <f t="shared" si="7"/>
        <v>33.47937423455559</v>
      </c>
      <c r="O69" s="2">
        <v>335</v>
      </c>
      <c r="P69" s="27">
        <f>(B69-Kinematik!B69)/Kinematik!B69*100</f>
        <v>-5.770884781333856E-13</v>
      </c>
      <c r="Q69" s="27">
        <f>(C69-Kinematik!C69)/Kinematik!C69*100</f>
        <v>-0.13679823186071302</v>
      </c>
      <c r="R69" s="27">
        <f>(D69-Kinematik!D69)/Kinematik!D69*100</f>
        <v>-0.3998348782879621</v>
      </c>
    </row>
    <row r="70" spans="1:18" ht="12.75">
      <c r="A70" s="20">
        <v>340</v>
      </c>
      <c r="B70" s="25">
        <f t="shared" si="4"/>
        <v>2.9820946290579236</v>
      </c>
      <c r="C70" s="25">
        <f t="shared" si="5"/>
        <v>-14.948181979587122</v>
      </c>
      <c r="D70" s="26">
        <f t="shared" si="6"/>
        <v>35560.701525897166</v>
      </c>
      <c r="E70" s="21">
        <f t="shared" si="7"/>
        <v>35.560701525897166</v>
      </c>
      <c r="O70" s="2">
        <v>340</v>
      </c>
      <c r="P70" s="27">
        <f>(B70-Kinematik!B70)/Kinematik!B70*100</f>
        <v>-3.1272895621683985E-13</v>
      </c>
      <c r="Q70" s="27">
        <f>(C70-Kinematik!C70)/Kinematik!C70*100</f>
        <v>-0.09193185272874167</v>
      </c>
      <c r="R70" s="27">
        <f>(D70-Kinematik!D70)/Kinematik!D70*100</f>
        <v>-0.27178229438217666</v>
      </c>
    </row>
    <row r="71" spans="1:18" ht="12.75">
      <c r="A71" s="20">
        <v>345</v>
      </c>
      <c r="B71" s="25">
        <f t="shared" si="4"/>
        <v>1.6893791026930622</v>
      </c>
      <c r="C71" s="25">
        <f t="shared" si="5"/>
        <v>-11.376794643472744</v>
      </c>
      <c r="D71" s="26">
        <f t="shared" si="6"/>
        <v>37222.81085268431</v>
      </c>
      <c r="E71" s="21">
        <f t="shared" si="7"/>
        <v>37.22281085268431</v>
      </c>
      <c r="O71" s="2">
        <v>345</v>
      </c>
      <c r="P71" s="27">
        <f>(B71-Kinematik!B71)/Kinematik!B71*100</f>
        <v>1.314356289663269E-13</v>
      </c>
      <c r="Q71" s="27">
        <f>(C71-Kinematik!C71)/Kinematik!C71*100</f>
        <v>-0.05367195714393859</v>
      </c>
      <c r="R71" s="27">
        <f>(D71-Kinematik!D71)/Kinematik!D71*100</f>
        <v>-0.15981918935974176</v>
      </c>
    </row>
    <row r="72" spans="1:18" ht="12.75">
      <c r="A72" s="20">
        <v>350</v>
      </c>
      <c r="B72" s="25">
        <f t="shared" si="4"/>
        <v>0.7546533086921641</v>
      </c>
      <c r="C72" s="25">
        <f t="shared" si="5"/>
        <v>-7.664347991827971</v>
      </c>
      <c r="D72" s="26">
        <f t="shared" si="6"/>
        <v>38433.660568881976</v>
      </c>
      <c r="E72" s="21">
        <f t="shared" si="7"/>
        <v>38.433660568881976</v>
      </c>
      <c r="O72" s="2">
        <v>350</v>
      </c>
      <c r="P72" s="27">
        <f>(B72-Kinematik!B72)/Kinematik!B72*100</f>
        <v>-5.472751002394486E-12</v>
      </c>
      <c r="Q72" s="27">
        <f>(C72-Kinematik!C72)/Kinematik!C72*100</f>
        <v>-0.02448691792743064</v>
      </c>
      <c r="R72" s="27">
        <f>(D72-Kinematik!D72)/Kinematik!D72*100</f>
        <v>-0.07323434296928781</v>
      </c>
    </row>
    <row r="73" spans="1:18" ht="12.75">
      <c r="A73" s="20">
        <v>355</v>
      </c>
      <c r="B73" s="25">
        <f t="shared" si="4"/>
        <v>0.18923847428738316</v>
      </c>
      <c r="C73" s="25">
        <f t="shared" si="5"/>
        <v>-3.856307902951374</v>
      </c>
      <c r="D73" s="26">
        <f t="shared" si="6"/>
        <v>39169.747116944214</v>
      </c>
      <c r="E73" s="21">
        <f t="shared" si="7"/>
        <v>39.169747116944215</v>
      </c>
      <c r="O73" s="2">
        <v>355</v>
      </c>
      <c r="P73" s="27">
        <f>(B73-Kinematik!B73)/Kinematik!B73*100</f>
        <v>-1.4080304066782403E-12</v>
      </c>
      <c r="Q73" s="27">
        <f>(C73-Kinematik!C73)/Kinematik!C73*100</f>
        <v>-0.006217677697857893</v>
      </c>
      <c r="R73" s="27">
        <f>(D73-Kinematik!D73)/Kinematik!D73*100</f>
        <v>-0.0186392482056904</v>
      </c>
    </row>
    <row r="74" spans="1:18" ht="13.5" thickBot="1">
      <c r="A74" s="16">
        <v>360</v>
      </c>
      <c r="B74" s="18">
        <f t="shared" si="4"/>
        <v>-1.7319479184152442E-14</v>
      </c>
      <c r="C74" s="18">
        <f t="shared" si="5"/>
        <v>-1.085054692340638E-14</v>
      </c>
      <c r="D74" s="22">
        <f t="shared" si="6"/>
        <v>39416.71804563094</v>
      </c>
      <c r="E74" s="23">
        <f t="shared" si="7"/>
        <v>39.416718045630944</v>
      </c>
      <c r="O74" s="2">
        <v>360</v>
      </c>
      <c r="P74" s="27" t="e">
        <f>(B74-Kinematik!B74)/Kinematik!B74*100</f>
        <v>#DIV/0!</v>
      </c>
      <c r="Q74" s="27">
        <f>(C74-Kinematik!C74)/Kinematik!C74*100</f>
        <v>0</v>
      </c>
      <c r="R74" s="27">
        <f>(D74-Kinematik!D74)/Kinematik!D74*100</f>
        <v>-5.5377195070581796E-14</v>
      </c>
    </row>
  </sheetData>
  <mergeCells count="1">
    <mergeCell ref="D1:E1"/>
  </mergeCells>
  <printOptions/>
  <pageMargins left="0.75" right="0.75" top="1" bottom="1" header="0.4921259845" footer="0.492125984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O74"/>
  <sheetViews>
    <sheetView showGridLines="0" workbookViewId="0" topLeftCell="A1">
      <pane xSplit="14" ySplit="2" topLeftCell="O3" activePane="bottomRight" state="frozen"/>
      <selection pane="topLeft" activeCell="G1" sqref="G1"/>
      <selection pane="topRight" activeCell="N1" sqref="N1"/>
      <selection pane="bottomLeft" activeCell="G3" sqref="G3"/>
      <selection pane="bottomRight" activeCell="F1" sqref="F1"/>
    </sheetView>
  </sheetViews>
  <sheetFormatPr defaultColWidth="11.421875" defaultRowHeight="12.75"/>
  <cols>
    <col min="1" max="1" width="11.421875" style="2" customWidth="1"/>
    <col min="2" max="2" width="10.00390625" style="2" customWidth="1"/>
    <col min="3" max="3" width="14.57421875" style="2" customWidth="1"/>
    <col min="4" max="4" width="6.57421875" style="43" bestFit="1" customWidth="1"/>
    <col min="5" max="5" width="6.57421875" style="2" customWidth="1"/>
    <col min="6" max="6" width="7.421875" style="2" customWidth="1"/>
    <col min="7" max="7" width="12.7109375" style="2" customWidth="1"/>
    <col min="8" max="8" width="12.140625" style="2" customWidth="1"/>
    <col min="9" max="10" width="11.140625" style="2" customWidth="1"/>
    <col min="11" max="11" width="9.421875" style="2" customWidth="1"/>
    <col min="12" max="12" width="8.7109375" style="2" customWidth="1"/>
    <col min="13" max="13" width="5.28125" style="2" customWidth="1"/>
    <col min="14" max="14" width="12.7109375" style="2" customWidth="1"/>
    <col min="15" max="16384" width="11.421875" style="2" customWidth="1"/>
  </cols>
  <sheetData>
    <row r="1" spans="1:15" ht="29.25" thickBot="1">
      <c r="A1" s="6" t="s">
        <v>0</v>
      </c>
      <c r="B1" s="7" t="s">
        <v>11</v>
      </c>
      <c r="C1" s="7" t="s">
        <v>12</v>
      </c>
      <c r="D1" s="44" t="s">
        <v>13</v>
      </c>
      <c r="E1" s="45"/>
      <c r="H1" s="8" t="s">
        <v>14</v>
      </c>
      <c r="I1" s="9" t="s">
        <v>15</v>
      </c>
      <c r="J1" s="9" t="s">
        <v>37</v>
      </c>
      <c r="K1" s="9" t="s">
        <v>16</v>
      </c>
      <c r="L1" s="9" t="s">
        <v>17</v>
      </c>
      <c r="M1" s="10" t="s">
        <v>18</v>
      </c>
      <c r="O1" s="11">
        <v>48.2576</v>
      </c>
    </row>
    <row r="2" spans="1:15" ht="13.5" thickBot="1">
      <c r="A2" s="12">
        <v>0</v>
      </c>
      <c r="B2" s="13">
        <f aca="true" t="shared" si="0" ref="B2:B33">I$2+H$2-SQRT(I$2^2-H$2^2*SIN(A2*PI()/180)^2)-H$2*COS(A2*PI()/180)</f>
        <v>0</v>
      </c>
      <c r="C2" s="13">
        <f aca="true" t="shared" si="1" ref="C2:C33">(H$2^2*(PI()*K$2/30)*SIN(A2*PI()/180)*COS(A2*PI()/180)/SQRT(I$2^2-H$2^2*SIN(A2*PI()/180)^2)+H$2*(PI()*K$2/30)*SIN(A2*PI()/180))/1000</f>
        <v>0</v>
      </c>
      <c r="D2" s="14">
        <f aca="true" t="shared" si="2" ref="D2:D33">(PI()^2*K$2^2*H$2*COS(PI()*A2/180)/900+SQRT(2)*PI()^2*K$2^2*H$2^2*(4*(2*I$2^2-H$2^2)*COS(PI()*A2/90)+H$2^2*(COS(PI()*A2/45)+3))/(3600*(H$2^2*COS(PI()*A2/90)+2*I$2^2-H$2^2)^(3/2)))/1000</f>
        <v>39416.718045630965</v>
      </c>
      <c r="E2" s="15">
        <f aca="true" t="shared" si="3" ref="E2:E33">D2/1000</f>
        <v>39.416718045630965</v>
      </c>
      <c r="H2" s="16">
        <f>78/2</f>
        <v>39</v>
      </c>
      <c r="I2" s="17">
        <v>141.5</v>
      </c>
      <c r="J2" s="17">
        <v>10</v>
      </c>
      <c r="K2" s="17">
        <v>8500</v>
      </c>
      <c r="L2" s="18">
        <f>MAX(C2:C74)</f>
        <v>36.0132811868011</v>
      </c>
      <c r="M2" s="19">
        <f>H2*K2/15000</f>
        <v>22.1</v>
      </c>
      <c r="O2" s="11"/>
    </row>
    <row r="3" spans="1:14" ht="12.75">
      <c r="A3" s="20">
        <v>5</v>
      </c>
      <c r="B3" s="13">
        <f t="shared" si="0"/>
        <v>0.18923847428738583</v>
      </c>
      <c r="C3" s="13">
        <f t="shared" si="1"/>
        <v>3.856547690657036</v>
      </c>
      <c r="D3" s="14">
        <f t="shared" si="2"/>
        <v>39177.0494244261</v>
      </c>
      <c r="E3" s="21">
        <f t="shared" si="3"/>
        <v>39.1770494244261</v>
      </c>
      <c r="G3" s="11"/>
      <c r="H3" s="11"/>
      <c r="I3" s="11"/>
      <c r="J3" s="11"/>
      <c r="K3" s="11"/>
      <c r="L3" s="11"/>
      <c r="M3" s="11"/>
      <c r="N3" s="11"/>
    </row>
    <row r="4" spans="1:5" ht="12.75">
      <c r="A4" s="20">
        <v>10</v>
      </c>
      <c r="B4" s="13">
        <f t="shared" si="0"/>
        <v>0.7546533086921983</v>
      </c>
      <c r="C4" s="13">
        <f t="shared" si="1"/>
        <v>7.666225214104239</v>
      </c>
      <c r="D4" s="14">
        <f t="shared" si="2"/>
        <v>38461.827835791504</v>
      </c>
      <c r="E4" s="21">
        <f t="shared" si="3"/>
        <v>38.4618278357915</v>
      </c>
    </row>
    <row r="5" spans="1:5" ht="12.75">
      <c r="A5" s="20">
        <v>15</v>
      </c>
      <c r="B5" s="13">
        <f t="shared" si="0"/>
        <v>1.68937910269306</v>
      </c>
      <c r="C5" s="13">
        <f t="shared" si="1"/>
        <v>11.382904070867397</v>
      </c>
      <c r="D5" s="14">
        <f t="shared" si="2"/>
        <v>37282.39527458605</v>
      </c>
      <c r="E5" s="21">
        <f t="shared" si="3"/>
        <v>37.28239527458605</v>
      </c>
    </row>
    <row r="6" spans="1:15" ht="12.75">
      <c r="A6" s="20">
        <v>20</v>
      </c>
      <c r="B6" s="13">
        <f t="shared" si="0"/>
        <v>2.982094629057933</v>
      </c>
      <c r="C6" s="13">
        <f t="shared" si="1"/>
        <v>14.961936765259534</v>
      </c>
      <c r="D6" s="14">
        <f t="shared" si="2"/>
        <v>35657.61260355301</v>
      </c>
      <c r="E6" s="21">
        <f t="shared" si="3"/>
        <v>35.65761260355301</v>
      </c>
      <c r="O6" s="27"/>
    </row>
    <row r="7" spans="1:5" ht="12.75">
      <c r="A7" s="20">
        <v>25</v>
      </c>
      <c r="B7" s="13">
        <f t="shared" si="0"/>
        <v>4.617204051134259</v>
      </c>
      <c r="C7" s="13">
        <f t="shared" si="1"/>
        <v>18.360890238125293</v>
      </c>
      <c r="D7" s="14">
        <f t="shared" si="2"/>
        <v>33613.77382622168</v>
      </c>
      <c r="E7" s="21">
        <f t="shared" si="3"/>
        <v>33.61377382622168</v>
      </c>
    </row>
    <row r="8" spans="1:5" ht="12.75">
      <c r="A8" s="20">
        <v>30</v>
      </c>
      <c r="B8" s="13">
        <f t="shared" si="0"/>
        <v>6.575089523567954</v>
      </c>
      <c r="C8" s="13">
        <f t="shared" si="1"/>
        <v>21.540267393846705</v>
      </c>
      <c r="D8" s="14">
        <f t="shared" si="2"/>
        <v>31184.442944760893</v>
      </c>
      <c r="E8" s="21">
        <f t="shared" si="3"/>
        <v>31.184442944760892</v>
      </c>
    </row>
    <row r="9" spans="1:5" ht="12.75">
      <c r="A9" s="20">
        <v>35</v>
      </c>
      <c r="B9" s="13">
        <f t="shared" si="0"/>
        <v>8.832433575786187</v>
      </c>
      <c r="C9" s="13">
        <f t="shared" si="1"/>
        <v>24.464207216237988</v>
      </c>
      <c r="D9" s="14">
        <f t="shared" si="2"/>
        <v>28410.17285796503</v>
      </c>
      <c r="E9" s="21">
        <f t="shared" si="3"/>
        <v>28.41017285796503</v>
      </c>
    </row>
    <row r="10" spans="1:5" ht="12.75">
      <c r="A10" s="20">
        <v>40</v>
      </c>
      <c r="B10" s="13">
        <f t="shared" si="0"/>
        <v>11.362608538099419</v>
      </c>
      <c r="C10" s="13">
        <f t="shared" si="1"/>
        <v>27.101149618235826</v>
      </c>
      <c r="D10" s="14">
        <f t="shared" si="2"/>
        <v>25338.058742577294</v>
      </c>
      <c r="E10" s="21">
        <f t="shared" si="3"/>
        <v>25.338058742577292</v>
      </c>
    </row>
    <row r="11" spans="1:5" ht="12.75">
      <c r="A11" s="20">
        <v>45</v>
      </c>
      <c r="B11" s="13">
        <f t="shared" si="0"/>
        <v>14.136128677484258</v>
      </c>
      <c r="C11" s="13">
        <f t="shared" si="1"/>
        <v>29.42444634990836</v>
      </c>
      <c r="D11" s="14">
        <f t="shared" si="2"/>
        <v>22021.07609462934</v>
      </c>
      <c r="E11" s="21">
        <f t="shared" si="3"/>
        <v>22.02107609462934</v>
      </c>
    </row>
    <row r="12" spans="1:5" ht="12.75">
      <c r="A12" s="20">
        <v>50</v>
      </c>
      <c r="B12" s="13">
        <f t="shared" si="0"/>
        <v>17.121158643854717</v>
      </c>
      <c r="C12" s="13">
        <f t="shared" si="1"/>
        <v>31.412894561653797</v>
      </c>
      <c r="D12" s="14">
        <f t="shared" si="2"/>
        <v>18517.158107608753</v>
      </c>
      <c r="E12" s="21">
        <f t="shared" si="3"/>
        <v>18.517158107608754</v>
      </c>
    </row>
    <row r="13" spans="1:5" ht="12.75">
      <c r="A13" s="20">
        <v>55</v>
      </c>
      <c r="B13" s="13">
        <f t="shared" si="0"/>
        <v>20.284069332705133</v>
      </c>
      <c r="C13" s="13">
        <f t="shared" si="1"/>
        <v>33.051165743964</v>
      </c>
      <c r="D13" s="14">
        <f t="shared" si="2"/>
        <v>14887.980222818835</v>
      </c>
      <c r="E13" s="21">
        <f t="shared" si="3"/>
        <v>14.887980222818834</v>
      </c>
    </row>
    <row r="14" spans="1:5" ht="12.75">
      <c r="A14" s="20">
        <v>60</v>
      </c>
      <c r="B14" s="13">
        <f t="shared" si="0"/>
        <v>23.590029473840584</v>
      </c>
      <c r="C14" s="13">
        <f t="shared" si="1"/>
        <v>34.33010065575645</v>
      </c>
      <c r="D14" s="14">
        <f t="shared" si="2"/>
        <v>11197.442646440986</v>
      </c>
      <c r="E14" s="21">
        <f t="shared" si="3"/>
        <v>11.197442646440987</v>
      </c>
    </row>
    <row r="15" spans="1:5" ht="12.75">
      <c r="A15" s="20">
        <v>65</v>
      </c>
      <c r="B15" s="13">
        <f t="shared" si="0"/>
        <v>27.00361837891113</v>
      </c>
      <c r="C15" s="13">
        <f t="shared" si="1"/>
        <v>35.24684146861386</v>
      </c>
      <c r="D15" s="14">
        <f t="shared" si="2"/>
        <v>7509.874028203283</v>
      </c>
      <c r="E15" s="21">
        <f t="shared" si="3"/>
        <v>7.509874028203283</v>
      </c>
    </row>
    <row r="16" spans="1:5" ht="12.75">
      <c r="A16" s="20">
        <v>70</v>
      </c>
      <c r="B16" s="13">
        <f t="shared" si="0"/>
        <v>30.489442632041737</v>
      </c>
      <c r="C16" s="13">
        <f t="shared" si="1"/>
        <v>35.804776515243546</v>
      </c>
      <c r="D16" s="14">
        <f t="shared" si="2"/>
        <v>3888.018796695966</v>
      </c>
      <c r="E16" s="21">
        <f t="shared" si="3"/>
        <v>3.8880187966959663</v>
      </c>
    </row>
    <row r="17" spans="1:5" ht="12.75">
      <c r="A17" s="20">
        <v>75</v>
      </c>
      <c r="B17" s="13">
        <f t="shared" si="0"/>
        <v>34.01273746168869</v>
      </c>
      <c r="C17" s="13">
        <f t="shared" si="1"/>
        <v>36.0132811868011</v>
      </c>
      <c r="D17" s="14">
        <f t="shared" si="2"/>
        <v>390.911811355466</v>
      </c>
      <c r="E17" s="21">
        <f t="shared" si="3"/>
        <v>0.390911811355466</v>
      </c>
    </row>
    <row r="18" spans="1:5" ht="12.75">
      <c r="A18" s="20">
        <v>80</v>
      </c>
      <c r="B18" s="13">
        <f t="shared" si="0"/>
        <v>37.53993247784045</v>
      </c>
      <c r="C18" s="13">
        <f t="shared" si="1"/>
        <v>35.8872505208935</v>
      </c>
      <c r="D18" s="14">
        <f t="shared" si="2"/>
        <v>-2928.2201402167425</v>
      </c>
      <c r="E18" s="21">
        <f t="shared" si="3"/>
        <v>-2.9282201402167427</v>
      </c>
    </row>
    <row r="19" spans="1:5" ht="12.75">
      <c r="A19" s="20">
        <v>85</v>
      </c>
      <c r="B19" s="13">
        <f t="shared" si="0"/>
        <v>41.03916173502614</v>
      </c>
      <c r="C19" s="13">
        <f t="shared" si="1"/>
        <v>35.44643394559134</v>
      </c>
      <c r="D19" s="14">
        <f t="shared" si="2"/>
        <v>-6023.867967767931</v>
      </c>
      <c r="E19" s="21">
        <f t="shared" si="3"/>
        <v>-6.023867967767931</v>
      </c>
    </row>
    <row r="20" spans="1:5" ht="12.75">
      <c r="A20" s="20">
        <v>90</v>
      </c>
      <c r="B20" s="13">
        <f t="shared" si="0"/>
        <v>44.48069989887463</v>
      </c>
      <c r="C20" s="13">
        <f t="shared" si="1"/>
        <v>34.71459882216722</v>
      </c>
      <c r="D20" s="14">
        <f t="shared" si="2"/>
        <v>-8859.796885354228</v>
      </c>
      <c r="E20" s="21">
        <f t="shared" si="3"/>
        <v>-8.859796885354228</v>
      </c>
    </row>
    <row r="21" spans="1:5" ht="12.75">
      <c r="A21" s="20">
        <v>95</v>
      </c>
      <c r="B21" s="13">
        <f t="shared" si="0"/>
        <v>47.83730966934348</v>
      </c>
      <c r="C21" s="13">
        <f t="shared" si="1"/>
        <v>33.71856464045854</v>
      </c>
      <c r="D21" s="14">
        <f t="shared" si="2"/>
        <v>-11410.107938059247</v>
      </c>
      <c r="E21" s="21">
        <f t="shared" si="3"/>
        <v>-11.410107938059248</v>
      </c>
    </row>
    <row r="22" spans="1:5" ht="12.75">
      <c r="A22" s="20">
        <v>100</v>
      </c>
      <c r="B22" s="13">
        <f t="shared" si="0"/>
        <v>51.08449033586102</v>
      </c>
      <c r="C22" s="13">
        <f t="shared" si="1"/>
        <v>32.48716160466397</v>
      </c>
      <c r="D22" s="14">
        <f t="shared" si="2"/>
        <v>-13659.70754232484</v>
      </c>
      <c r="E22" s="21">
        <f t="shared" si="3"/>
        <v>-13.65970754232484</v>
      </c>
    </row>
    <row r="23" spans="1:15" ht="12.75">
      <c r="A23" s="20">
        <v>105</v>
      </c>
      <c r="B23" s="13">
        <f t="shared" si="0"/>
        <v>54.200622979685306</v>
      </c>
      <c r="C23" s="13">
        <f t="shared" si="1"/>
        <v>31.050173916389667</v>
      </c>
      <c r="D23" s="14">
        <f t="shared" si="2"/>
        <v>-15604.149923590116</v>
      </c>
      <c r="E23" s="21">
        <f t="shared" si="3"/>
        <v>-15.604149923590116</v>
      </c>
      <c r="O23" s="27"/>
    </row>
    <row r="24" spans="1:5" ht="12.75">
      <c r="A24" s="20">
        <v>110</v>
      </c>
      <c r="B24" s="13">
        <f t="shared" si="0"/>
        <v>57.1670138114439</v>
      </c>
      <c r="C24" s="13">
        <f t="shared" si="1"/>
        <v>29.4373281782239</v>
      </c>
      <c r="D24" s="14">
        <f t="shared" si="2"/>
        <v>-17248.885193201826</v>
      </c>
      <c r="E24" s="21">
        <f t="shared" si="3"/>
        <v>-17.248885193201826</v>
      </c>
    </row>
    <row r="25" spans="1:5" ht="12.75">
      <c r="A25" s="20">
        <v>115</v>
      </c>
      <c r="B25" s="13">
        <f t="shared" si="0"/>
        <v>59.96784279468568</v>
      </c>
      <c r="C25" s="13">
        <f t="shared" si="1"/>
        <v>27.67738100415308</v>
      </c>
      <c r="D25" s="14">
        <f t="shared" si="2"/>
        <v>-18608.007614472008</v>
      </c>
      <c r="E25" s="21">
        <f t="shared" si="3"/>
        <v>-18.608007614472008</v>
      </c>
    </row>
    <row r="26" spans="1:5" ht="12.75">
      <c r="A26" s="20">
        <v>120</v>
      </c>
      <c r="B26" s="13">
        <f t="shared" si="0"/>
        <v>62.59002947384058</v>
      </c>
      <c r="C26" s="13">
        <f t="shared" si="1"/>
        <v>25.797348268607866</v>
      </c>
      <c r="D26" s="14">
        <f t="shared" si="2"/>
        <v>-19702.64379930295</v>
      </c>
      <c r="E26" s="21">
        <f t="shared" si="3"/>
        <v>-19.70264379930295</v>
      </c>
    </row>
    <row r="27" spans="1:5" ht="12.75">
      <c r="A27" s="20">
        <v>125</v>
      </c>
      <c r="B27" s="13">
        <f t="shared" si="0"/>
        <v>65.02303136808672</v>
      </c>
      <c r="C27" s="13">
        <f t="shared" si="1"/>
        <v>23.821903439737014</v>
      </c>
      <c r="D27" s="14">
        <f t="shared" si="2"/>
        <v>-20559.142710159296</v>
      </c>
      <c r="E27" s="21">
        <f t="shared" si="3"/>
        <v>-20.559142710159296</v>
      </c>
    </row>
    <row r="28" spans="1:5" ht="12.75">
      <c r="A28" s="20">
        <v>130</v>
      </c>
      <c r="B28" s="13">
        <f t="shared" si="0"/>
        <v>67.25859219940479</v>
      </c>
      <c r="C28" s="13">
        <f t="shared" si="1"/>
        <v>21.772956483997834</v>
      </c>
      <c r="D28" s="14">
        <f t="shared" si="2"/>
        <v>-21207.227303525604</v>
      </c>
      <c r="E28" s="21">
        <f t="shared" si="3"/>
        <v>-21.207227303525602</v>
      </c>
    </row>
    <row r="29" spans="1:5" ht="12.75">
      <c r="A29" s="20">
        <v>135</v>
      </c>
      <c r="B29" s="13">
        <f t="shared" si="0"/>
        <v>69.29045761003496</v>
      </c>
      <c r="C29" s="13">
        <f t="shared" si="1"/>
        <v>19.669410116741588</v>
      </c>
      <c r="D29" s="14">
        <f t="shared" si="2"/>
        <v>-21678.245235442777</v>
      </c>
      <c r="E29" s="21">
        <f t="shared" si="3"/>
        <v>-21.678245235442777</v>
      </c>
    </row>
    <row r="30" spans="1:5" ht="12.75">
      <c r="A30" s="20">
        <v>140</v>
      </c>
      <c r="B30" s="13">
        <f t="shared" si="0"/>
        <v>71.1140751013797</v>
      </c>
      <c r="C30" s="13">
        <f t="shared" si="1"/>
        <v>17.52707837802021</v>
      </c>
      <c r="D30" s="14">
        <f t="shared" si="2"/>
        <v>-22003.620284739092</v>
      </c>
      <c r="E30" s="21">
        <f t="shared" si="3"/>
        <v>-22.003620284739092</v>
      </c>
    </row>
    <row r="31" spans="1:5" ht="12.75">
      <c r="A31" s="20">
        <v>145</v>
      </c>
      <c r="B31" s="13">
        <f t="shared" si="0"/>
        <v>72.72629303032754</v>
      </c>
      <c r="C31" s="13">
        <f t="shared" si="1"/>
        <v>15.358744547311804</v>
      </c>
      <c r="D31" s="14">
        <f t="shared" si="2"/>
        <v>-22213.56510351039</v>
      </c>
      <c r="E31" s="21">
        <f t="shared" si="3"/>
        <v>-22.21356510351039</v>
      </c>
    </row>
    <row r="32" spans="1:5" ht="12.75">
      <c r="A32" s="20">
        <v>150</v>
      </c>
      <c r="B32" s="13">
        <f t="shared" si="0"/>
        <v>74.12507101875417</v>
      </c>
      <c r="C32" s="13">
        <f t="shared" si="1"/>
        <v>13.174331428320501</v>
      </c>
      <c r="D32" s="14">
        <f t="shared" si="2"/>
        <v>-22336.076737538013</v>
      </c>
      <c r="E32" s="21">
        <f t="shared" si="3"/>
        <v>-22.33607673753801</v>
      </c>
    </row>
    <row r="33" spans="1:5" ht="12.75">
      <c r="A33" s="20">
        <v>155</v>
      </c>
      <c r="B33" s="13">
        <f t="shared" si="0"/>
        <v>75.30921143999296</v>
      </c>
      <c r="C33" s="13">
        <f t="shared" si="1"/>
        <v>10.981156584374792</v>
      </c>
      <c r="D33" s="14">
        <f t="shared" si="2"/>
        <v>-22396.204105545054</v>
      </c>
      <c r="E33" s="21">
        <f t="shared" si="3"/>
        <v>-22.396204105545053</v>
      </c>
    </row>
    <row r="34" spans="1:15" ht="12.75">
      <c r="A34" s="20">
        <v>160</v>
      </c>
      <c r="B34" s="13">
        <f aca="true" t="shared" si="4" ref="B34:B65">I$2+H$2-SQRT(I$2^2-H$2^2*SIN(A34*PI()/180)^2)-H$2*COS(A34*PI()/180)</f>
        <v>76.27811905035878</v>
      </c>
      <c r="C34" s="13">
        <f aca="true" t="shared" si="5" ref="C34:C65">(H$2^2*(PI()*K$2/30)*SIN(A34*PI()/180)*COS(A34*PI()/180)/SQRT(I$2^2-H$2^2*SIN(A34*PI()/180)^2)+H$2*(PI()*K$2/30)*SIN(A34*PI()/180))/1000</f>
        <v>8.784247364041915</v>
      </c>
      <c r="D34" s="14">
        <f aca="true" t="shared" si="6" ref="D34:D65">(PI()^2*K$2^2*H$2*COS(PI()*A34/180)/900+SQRT(2)*PI()^2*K$2^2*H$2^2*(4*(2*I$2^2-H$2^2)*COS(PI()*A34/90)+H$2^2*(COS(PI()*A34/45)+3))/(3600*(H$2^2*COS(PI()*A34/90)+2*I$2^2-H$2^2)^(3/2)))/1000</f>
        <v>-22415.553825871473</v>
      </c>
      <c r="E34" s="21">
        <f aca="true" t="shared" si="7" ref="E34:E65">D34/1000</f>
        <v>-22.415553825871473</v>
      </c>
      <c r="O34" s="27"/>
    </row>
    <row r="35" spans="1:5" ht="12.75">
      <c r="A35" s="20">
        <v>165</v>
      </c>
      <c r="B35" s="13">
        <f t="shared" si="4"/>
        <v>77.03159355324038</v>
      </c>
      <c r="C35" s="13">
        <f t="shared" si="5"/>
        <v>6.586694565673431</v>
      </c>
      <c r="D35" s="14">
        <f t="shared" si="6"/>
        <v>-22411.987790431645</v>
      </c>
      <c r="E35" s="21">
        <f t="shared" si="7"/>
        <v>-22.411987790431645</v>
      </c>
    </row>
    <row r="36" spans="1:5" ht="12.75">
      <c r="A36" s="20">
        <v>170</v>
      </c>
      <c r="B36" s="13">
        <f t="shared" si="4"/>
        <v>77.56965804364442</v>
      </c>
      <c r="C36" s="13">
        <f t="shared" si="5"/>
        <v>4.390028433711565</v>
      </c>
      <c r="D36" s="14">
        <f t="shared" si="6"/>
        <v>-22399.461565240632</v>
      </c>
      <c r="E36" s="21">
        <f t="shared" si="7"/>
        <v>-22.39946156524063</v>
      </c>
    </row>
    <row r="37" spans="1:5" ht="12.75">
      <c r="A37" s="20">
        <v>175</v>
      </c>
      <c r="B37" s="13">
        <f t="shared" si="4"/>
        <v>77.89242492544355</v>
      </c>
      <c r="C37" s="13">
        <f t="shared" si="5"/>
        <v>2.194605598408902</v>
      </c>
      <c r="D37" s="14">
        <f t="shared" si="6"/>
        <v>-22387.955151227332</v>
      </c>
      <c r="E37" s="21">
        <f t="shared" si="7"/>
        <v>-22.38795515122733</v>
      </c>
    </row>
    <row r="38" spans="1:5" ht="12.75">
      <c r="A38" s="20">
        <v>180</v>
      </c>
      <c r="B38" s="13">
        <f t="shared" si="4"/>
        <v>78</v>
      </c>
      <c r="C38" s="13">
        <f t="shared" si="5"/>
        <v>3.0808339602469636E-15</v>
      </c>
      <c r="D38" s="14">
        <f t="shared" si="6"/>
        <v>-22383.454845856904</v>
      </c>
      <c r="E38" s="21">
        <f t="shared" si="7"/>
        <v>-22.383454845856903</v>
      </c>
    </row>
    <row r="39" spans="1:5" ht="12.75">
      <c r="A39" s="20">
        <v>185</v>
      </c>
      <c r="B39" s="13">
        <f t="shared" si="4"/>
        <v>77.89242492544355</v>
      </c>
      <c r="C39" s="13">
        <f t="shared" si="5"/>
        <v>-2.1946055984088844</v>
      </c>
      <c r="D39" s="14">
        <f t="shared" si="6"/>
        <v>-22387.95515122733</v>
      </c>
      <c r="E39" s="21">
        <f t="shared" si="7"/>
        <v>-22.387955151227327</v>
      </c>
    </row>
    <row r="40" spans="1:15" ht="12.75">
      <c r="A40" s="20">
        <v>190</v>
      </c>
      <c r="B40" s="13">
        <f t="shared" si="4"/>
        <v>77.56965804364442</v>
      </c>
      <c r="C40" s="13">
        <f t="shared" si="5"/>
        <v>-4.390028433711571</v>
      </c>
      <c r="D40" s="14">
        <f t="shared" si="6"/>
        <v>-22399.461565240632</v>
      </c>
      <c r="E40" s="21">
        <f t="shared" si="7"/>
        <v>-22.39946156524063</v>
      </c>
      <c r="O40" s="27"/>
    </row>
    <row r="41" spans="1:5" ht="12.75">
      <c r="A41" s="20">
        <v>195</v>
      </c>
      <c r="B41" s="13">
        <f t="shared" si="4"/>
        <v>77.03159355324038</v>
      </c>
      <c r="C41" s="13">
        <f t="shared" si="5"/>
        <v>-6.5866945656734135</v>
      </c>
      <c r="D41" s="14">
        <f t="shared" si="6"/>
        <v>-22411.98779043165</v>
      </c>
      <c r="E41" s="21">
        <f t="shared" si="7"/>
        <v>-22.41198779043165</v>
      </c>
    </row>
    <row r="42" spans="1:5" ht="12.75">
      <c r="A42" s="20">
        <v>200</v>
      </c>
      <c r="B42" s="13">
        <f t="shared" si="4"/>
        <v>76.27811905035878</v>
      </c>
      <c r="C42" s="13">
        <f t="shared" si="5"/>
        <v>-8.784247364041908</v>
      </c>
      <c r="D42" s="14">
        <f t="shared" si="6"/>
        <v>-22415.553825871473</v>
      </c>
      <c r="E42" s="21">
        <f t="shared" si="7"/>
        <v>-22.415553825871473</v>
      </c>
    </row>
    <row r="43" spans="1:5" ht="12.75">
      <c r="A43" s="20">
        <v>205</v>
      </c>
      <c r="B43" s="13">
        <f t="shared" si="4"/>
        <v>75.30921143999296</v>
      </c>
      <c r="C43" s="13">
        <f t="shared" si="5"/>
        <v>-10.981156584374787</v>
      </c>
      <c r="D43" s="14">
        <f t="shared" si="6"/>
        <v>-22396.204105545054</v>
      </c>
      <c r="E43" s="21">
        <f t="shared" si="7"/>
        <v>-22.396204105545053</v>
      </c>
    </row>
    <row r="44" spans="1:5" ht="12.75">
      <c r="A44" s="20">
        <v>210</v>
      </c>
      <c r="B44" s="13">
        <f t="shared" si="4"/>
        <v>74.12507101875417</v>
      </c>
      <c r="C44" s="13">
        <f t="shared" si="5"/>
        <v>-13.174331428320507</v>
      </c>
      <c r="D44" s="14">
        <f t="shared" si="6"/>
        <v>-22336.07673753801</v>
      </c>
      <c r="E44" s="21">
        <f t="shared" si="7"/>
        <v>-22.336076737538008</v>
      </c>
    </row>
    <row r="45" spans="1:5" ht="12.75">
      <c r="A45" s="20">
        <v>215</v>
      </c>
      <c r="B45" s="13">
        <f t="shared" si="4"/>
        <v>72.72629303032755</v>
      </c>
      <c r="C45" s="13">
        <f t="shared" si="5"/>
        <v>-15.358744547311789</v>
      </c>
      <c r="D45" s="14">
        <f t="shared" si="6"/>
        <v>-22213.56510351039</v>
      </c>
      <c r="E45" s="21">
        <f t="shared" si="7"/>
        <v>-22.21356510351039</v>
      </c>
    </row>
    <row r="46" spans="1:5" ht="12.75">
      <c r="A46" s="20">
        <v>220</v>
      </c>
      <c r="B46" s="13">
        <f t="shared" si="4"/>
        <v>71.1140751013797</v>
      </c>
      <c r="C46" s="13">
        <f t="shared" si="5"/>
        <v>-17.5270783780202</v>
      </c>
      <c r="D46" s="14">
        <f t="shared" si="6"/>
        <v>-22003.620284739092</v>
      </c>
      <c r="E46" s="21">
        <f t="shared" si="7"/>
        <v>-22.003620284739092</v>
      </c>
    </row>
    <row r="47" spans="1:5" ht="12.75">
      <c r="A47" s="20">
        <v>225</v>
      </c>
      <c r="B47" s="13">
        <f t="shared" si="4"/>
        <v>69.29045761003498</v>
      </c>
      <c r="C47" s="13">
        <f t="shared" si="5"/>
        <v>-19.66941011674158</v>
      </c>
      <c r="D47" s="14">
        <f t="shared" si="6"/>
        <v>-21678.245235442777</v>
      </c>
      <c r="E47" s="21">
        <f t="shared" si="7"/>
        <v>-21.678245235442777</v>
      </c>
    </row>
    <row r="48" spans="1:5" ht="12.75">
      <c r="A48" s="20">
        <v>230</v>
      </c>
      <c r="B48" s="13">
        <f t="shared" si="4"/>
        <v>67.25859219940479</v>
      </c>
      <c r="C48" s="13">
        <f t="shared" si="5"/>
        <v>-21.77295648399783</v>
      </c>
      <c r="D48" s="14">
        <f t="shared" si="6"/>
        <v>-21207.2273035256</v>
      </c>
      <c r="E48" s="21">
        <f t="shared" si="7"/>
        <v>-21.2072273035256</v>
      </c>
    </row>
    <row r="49" spans="1:5" ht="12.75">
      <c r="A49" s="20">
        <v>235</v>
      </c>
      <c r="B49" s="13">
        <f t="shared" si="4"/>
        <v>65.02303136808675</v>
      </c>
      <c r="C49" s="13">
        <f t="shared" si="5"/>
        <v>-23.821903439737</v>
      </c>
      <c r="D49" s="14">
        <f t="shared" si="6"/>
        <v>-20559.142710159307</v>
      </c>
      <c r="E49" s="21">
        <f t="shared" si="7"/>
        <v>-20.559142710159307</v>
      </c>
    </row>
    <row r="50" spans="1:5" ht="12.75">
      <c r="A50" s="20">
        <v>240</v>
      </c>
      <c r="B50" s="13">
        <f t="shared" si="4"/>
        <v>62.5900294738406</v>
      </c>
      <c r="C50" s="13">
        <f t="shared" si="5"/>
        <v>-25.797348268607852</v>
      </c>
      <c r="D50" s="14">
        <f t="shared" si="6"/>
        <v>-19702.643799302958</v>
      </c>
      <c r="E50" s="21">
        <f t="shared" si="7"/>
        <v>-19.702643799302958</v>
      </c>
    </row>
    <row r="51" spans="1:15" ht="12.75">
      <c r="A51" s="20">
        <v>245</v>
      </c>
      <c r="B51" s="13">
        <f t="shared" si="4"/>
        <v>59.96784279468571</v>
      </c>
      <c r="C51" s="13">
        <f t="shared" si="5"/>
        <v>-27.677381004153062</v>
      </c>
      <c r="D51" s="14">
        <f t="shared" si="6"/>
        <v>-18608.007614472022</v>
      </c>
      <c r="E51" s="21">
        <f t="shared" si="7"/>
        <v>-18.608007614472022</v>
      </c>
      <c r="O51" s="27"/>
    </row>
    <row r="52" spans="1:5" ht="12.75">
      <c r="A52" s="20">
        <v>250</v>
      </c>
      <c r="B52" s="13">
        <f t="shared" si="4"/>
        <v>57.16701381144392</v>
      </c>
      <c r="C52" s="13">
        <f t="shared" si="5"/>
        <v>-29.437328178223883</v>
      </c>
      <c r="D52" s="14">
        <f t="shared" si="6"/>
        <v>-17248.88519320184</v>
      </c>
      <c r="E52" s="21">
        <f t="shared" si="7"/>
        <v>-17.24888519320184</v>
      </c>
    </row>
    <row r="53" spans="1:5" ht="12.75">
      <c r="A53" s="20">
        <v>255</v>
      </c>
      <c r="B53" s="13">
        <f t="shared" si="4"/>
        <v>54.2006229796853</v>
      </c>
      <c r="C53" s="13">
        <f t="shared" si="5"/>
        <v>-31.05017391638967</v>
      </c>
      <c r="D53" s="14">
        <f t="shared" si="6"/>
        <v>-15604.149923590108</v>
      </c>
      <c r="E53" s="21">
        <f t="shared" si="7"/>
        <v>-15.604149923590109</v>
      </c>
    </row>
    <row r="54" spans="1:5" ht="12.75">
      <c r="A54" s="20">
        <v>260</v>
      </c>
      <c r="B54" s="13">
        <f t="shared" si="4"/>
        <v>51.08449033586102</v>
      </c>
      <c r="C54" s="13">
        <f t="shared" si="5"/>
        <v>-32.48716160466397</v>
      </c>
      <c r="D54" s="14">
        <f t="shared" si="6"/>
        <v>-13659.70754232484</v>
      </c>
      <c r="E54" s="21">
        <f t="shared" si="7"/>
        <v>-13.65970754232484</v>
      </c>
    </row>
    <row r="55" spans="1:5" ht="12.75">
      <c r="A55" s="20">
        <v>265</v>
      </c>
      <c r="B55" s="13">
        <f t="shared" si="4"/>
        <v>47.83730966934348</v>
      </c>
      <c r="C55" s="13">
        <f t="shared" si="5"/>
        <v>-33.71856464045854</v>
      </c>
      <c r="D55" s="14">
        <f t="shared" si="6"/>
        <v>-11410.107938059247</v>
      </c>
      <c r="E55" s="21">
        <f t="shared" si="7"/>
        <v>-11.410107938059248</v>
      </c>
    </row>
    <row r="56" spans="1:5" ht="12.75">
      <c r="A56" s="20">
        <v>270</v>
      </c>
      <c r="B56" s="13">
        <f t="shared" si="4"/>
        <v>44.48069989887464</v>
      </c>
      <c r="C56" s="13">
        <f t="shared" si="5"/>
        <v>-34.71459882216722</v>
      </c>
      <c r="D56" s="14">
        <f t="shared" si="6"/>
        <v>-8859.796885354235</v>
      </c>
      <c r="E56" s="21">
        <f t="shared" si="7"/>
        <v>-8.859796885354235</v>
      </c>
    </row>
    <row r="57" spans="1:5" ht="12.75">
      <c r="A57" s="20">
        <v>275</v>
      </c>
      <c r="B57" s="13">
        <f t="shared" si="4"/>
        <v>41.039161735026155</v>
      </c>
      <c r="C57" s="13">
        <f t="shared" si="5"/>
        <v>-35.44643394559133</v>
      </c>
      <c r="D57" s="14">
        <f t="shared" si="6"/>
        <v>-6023.867967767936</v>
      </c>
      <c r="E57" s="21">
        <f t="shared" si="7"/>
        <v>-6.023867967767935</v>
      </c>
    </row>
    <row r="58" spans="1:5" ht="12.75">
      <c r="A58" s="20">
        <v>280</v>
      </c>
      <c r="B58" s="13">
        <f t="shared" si="4"/>
        <v>37.539932477840466</v>
      </c>
      <c r="C58" s="13">
        <f t="shared" si="5"/>
        <v>-35.88725052089351</v>
      </c>
      <c r="D58" s="14">
        <f t="shared" si="6"/>
        <v>-2928.2201402167593</v>
      </c>
      <c r="E58" s="21">
        <f t="shared" si="7"/>
        <v>-2.928220140216759</v>
      </c>
    </row>
    <row r="59" spans="1:5" ht="12.75">
      <c r="A59" s="20">
        <v>285</v>
      </c>
      <c r="B59" s="13">
        <f t="shared" si="4"/>
        <v>34.01273746168867</v>
      </c>
      <c r="C59" s="13">
        <f t="shared" si="5"/>
        <v>-36.0132811868011</v>
      </c>
      <c r="D59" s="14">
        <f t="shared" si="6"/>
        <v>390.91181135548277</v>
      </c>
      <c r="E59" s="21">
        <f t="shared" si="7"/>
        <v>0.39091181135548275</v>
      </c>
    </row>
    <row r="60" spans="1:5" ht="12.75">
      <c r="A60" s="20">
        <v>290</v>
      </c>
      <c r="B60" s="13">
        <f t="shared" si="4"/>
        <v>30.48944263204176</v>
      </c>
      <c r="C60" s="13">
        <f t="shared" si="5"/>
        <v>-35.804776515243546</v>
      </c>
      <c r="D60" s="14">
        <f t="shared" si="6"/>
        <v>3888.01879669594</v>
      </c>
      <c r="E60" s="21">
        <f t="shared" si="7"/>
        <v>3.88801879669594</v>
      </c>
    </row>
    <row r="61" spans="1:5" ht="12.75">
      <c r="A61" s="20">
        <v>295</v>
      </c>
      <c r="B61" s="13">
        <f t="shared" si="4"/>
        <v>27.003618378911128</v>
      </c>
      <c r="C61" s="13">
        <f t="shared" si="5"/>
        <v>-35.24684146861386</v>
      </c>
      <c r="D61" s="14">
        <f t="shared" si="6"/>
        <v>7509.874028203289</v>
      </c>
      <c r="E61" s="21">
        <f t="shared" si="7"/>
        <v>7.5098740282032885</v>
      </c>
    </row>
    <row r="62" spans="1:5" ht="12.75">
      <c r="A62" s="20">
        <v>300</v>
      </c>
      <c r="B62" s="13">
        <f t="shared" si="4"/>
        <v>23.590029473840584</v>
      </c>
      <c r="C62" s="13">
        <f t="shared" si="5"/>
        <v>-34.33010065575645</v>
      </c>
      <c r="D62" s="14">
        <f t="shared" si="6"/>
        <v>11197.442646440986</v>
      </c>
      <c r="E62" s="21">
        <f t="shared" si="7"/>
        <v>11.197442646440987</v>
      </c>
    </row>
    <row r="63" spans="1:5" ht="12.75">
      <c r="A63" s="20">
        <v>305</v>
      </c>
      <c r="B63" s="13">
        <f t="shared" si="4"/>
        <v>20.284069332705137</v>
      </c>
      <c r="C63" s="13">
        <f t="shared" si="5"/>
        <v>-33.051165743964</v>
      </c>
      <c r="D63" s="14">
        <f t="shared" si="6"/>
        <v>14887.98022281883</v>
      </c>
      <c r="E63" s="21">
        <f t="shared" si="7"/>
        <v>14.887980222818829</v>
      </c>
    </row>
    <row r="64" spans="1:5" ht="12.75">
      <c r="A64" s="20">
        <v>310</v>
      </c>
      <c r="B64" s="13">
        <f t="shared" si="4"/>
        <v>17.12115864385472</v>
      </c>
      <c r="C64" s="13">
        <f t="shared" si="5"/>
        <v>-31.4128945616538</v>
      </c>
      <c r="D64" s="14">
        <f t="shared" si="6"/>
        <v>18517.158107608746</v>
      </c>
      <c r="E64" s="21">
        <f t="shared" si="7"/>
        <v>18.517158107608747</v>
      </c>
    </row>
    <row r="65" spans="1:5" ht="12.75">
      <c r="A65" s="20">
        <v>315</v>
      </c>
      <c r="B65" s="13">
        <f t="shared" si="4"/>
        <v>14.136128677484269</v>
      </c>
      <c r="C65" s="13">
        <f t="shared" si="5"/>
        <v>-29.42444634990837</v>
      </c>
      <c r="D65" s="14">
        <f t="shared" si="6"/>
        <v>22021.07609462933</v>
      </c>
      <c r="E65" s="21">
        <f t="shared" si="7"/>
        <v>22.02107609462933</v>
      </c>
    </row>
    <row r="66" spans="1:5" ht="12.75">
      <c r="A66" s="20">
        <v>320</v>
      </c>
      <c r="B66" s="13">
        <f aca="true" t="shared" si="8" ref="B66:B74">I$2+H$2-SQRT(I$2^2-H$2^2*SIN(A66*PI()/180)^2)-H$2*COS(A66*PI()/180)</f>
        <v>11.362608538099426</v>
      </c>
      <c r="C66" s="13">
        <f aca="true" t="shared" si="9" ref="C66:C74">(H$2^2*(PI()*K$2/30)*SIN(A66*PI()/180)*COS(A66*PI()/180)/SQRT(I$2^2-H$2^2*SIN(A66*PI()/180)^2)+H$2*(PI()*K$2/30)*SIN(A66*PI()/180))/1000</f>
        <v>-27.10114961823584</v>
      </c>
      <c r="D66" s="14">
        <f aca="true" t="shared" si="10" ref="D66:D74">(PI()^2*K$2^2*H$2*COS(PI()*A66/180)/900+SQRT(2)*PI()^2*K$2^2*H$2^2*(4*(2*I$2^2-H$2^2)*COS(PI()*A66/90)+H$2^2*(COS(PI()*A66/45)+3))/(3600*(H$2^2*COS(PI()*A66/90)+2*I$2^2-H$2^2)^(3/2)))/1000</f>
        <v>25338.05874257728</v>
      </c>
      <c r="E66" s="21">
        <f aca="true" t="shared" si="11" ref="E66:E74">D66/1000</f>
        <v>25.338058742577278</v>
      </c>
    </row>
    <row r="67" spans="1:5" ht="12.75">
      <c r="A67" s="20">
        <v>325</v>
      </c>
      <c r="B67" s="13">
        <f t="shared" si="8"/>
        <v>8.832433575786197</v>
      </c>
      <c r="C67" s="13">
        <f t="shared" si="9"/>
        <v>-24.464207216238005</v>
      </c>
      <c r="D67" s="14">
        <f t="shared" si="10"/>
        <v>28410.172857965015</v>
      </c>
      <c r="E67" s="21">
        <f t="shared" si="11"/>
        <v>28.410172857965016</v>
      </c>
    </row>
    <row r="68" spans="1:5" ht="12.75">
      <c r="A68" s="20">
        <v>330</v>
      </c>
      <c r="B68" s="13">
        <f t="shared" si="8"/>
        <v>6.575089523567968</v>
      </c>
      <c r="C68" s="13">
        <f t="shared" si="9"/>
        <v>-21.540267393846726</v>
      </c>
      <c r="D68" s="14">
        <f t="shared" si="10"/>
        <v>31184.442944760875</v>
      </c>
      <c r="E68" s="21">
        <f t="shared" si="11"/>
        <v>31.184442944760875</v>
      </c>
    </row>
    <row r="69" spans="1:5" ht="12.75">
      <c r="A69" s="20">
        <v>335</v>
      </c>
      <c r="B69" s="13">
        <f t="shared" si="8"/>
        <v>4.617204051134266</v>
      </c>
      <c r="C69" s="13">
        <f t="shared" si="9"/>
        <v>-18.360890238125315</v>
      </c>
      <c r="D69" s="14">
        <f t="shared" si="10"/>
        <v>33613.77382622166</v>
      </c>
      <c r="E69" s="21">
        <f t="shared" si="11"/>
        <v>33.61377382622166</v>
      </c>
    </row>
    <row r="70" spans="1:5" ht="12.75">
      <c r="A70" s="20">
        <v>340</v>
      </c>
      <c r="B70" s="13">
        <f t="shared" si="8"/>
        <v>2.982094629057933</v>
      </c>
      <c r="C70" s="13">
        <f t="shared" si="9"/>
        <v>-14.961936765259528</v>
      </c>
      <c r="D70" s="14">
        <f t="shared" si="10"/>
        <v>35657.61260355301</v>
      </c>
      <c r="E70" s="21">
        <f t="shared" si="11"/>
        <v>35.65761260355301</v>
      </c>
    </row>
    <row r="71" spans="1:5" ht="12.75">
      <c r="A71" s="20">
        <v>345</v>
      </c>
      <c r="B71" s="13">
        <f t="shared" si="8"/>
        <v>1.68937910269306</v>
      </c>
      <c r="C71" s="13">
        <f t="shared" si="9"/>
        <v>-11.382904070867395</v>
      </c>
      <c r="D71" s="14">
        <f t="shared" si="10"/>
        <v>37282.39527458605</v>
      </c>
      <c r="E71" s="21">
        <f t="shared" si="11"/>
        <v>37.28239527458605</v>
      </c>
    </row>
    <row r="72" spans="1:5" ht="12.75">
      <c r="A72" s="20">
        <v>350</v>
      </c>
      <c r="B72" s="13">
        <f t="shared" si="8"/>
        <v>0.7546533086922054</v>
      </c>
      <c r="C72" s="13">
        <f t="shared" si="9"/>
        <v>-7.666225214104281</v>
      </c>
      <c r="D72" s="14">
        <f t="shared" si="10"/>
        <v>38461.8278357915</v>
      </c>
      <c r="E72" s="21">
        <f t="shared" si="11"/>
        <v>38.461827835791496</v>
      </c>
    </row>
    <row r="73" spans="1:5" ht="12.75">
      <c r="A73" s="20">
        <v>355</v>
      </c>
      <c r="B73" s="13">
        <f t="shared" si="8"/>
        <v>0.18923847428738583</v>
      </c>
      <c r="C73" s="13">
        <f t="shared" si="9"/>
        <v>-3.856547690657043</v>
      </c>
      <c r="D73" s="14">
        <f t="shared" si="10"/>
        <v>39177.0494244261</v>
      </c>
      <c r="E73" s="21">
        <f t="shared" si="11"/>
        <v>39.1770494244261</v>
      </c>
    </row>
    <row r="74" spans="1:5" ht="13.5" thickBot="1">
      <c r="A74" s="16">
        <v>360</v>
      </c>
      <c r="B74" s="18">
        <f t="shared" si="8"/>
        <v>0</v>
      </c>
      <c r="C74" s="18">
        <f t="shared" si="9"/>
        <v>-1.085054692340638E-14</v>
      </c>
      <c r="D74" s="22">
        <f t="shared" si="10"/>
        <v>39416.718045630965</v>
      </c>
      <c r="E74" s="23">
        <f t="shared" si="11"/>
        <v>39.416718045630965</v>
      </c>
    </row>
  </sheetData>
  <mergeCells count="1">
    <mergeCell ref="D1:E1"/>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Wilhelm-Maybach-Schule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Kurbeltrieb und Massenausgleich</dc:title>
  <dc:subject/>
  <dc:creator>Christian Mintel</dc:creator>
  <cp:keywords/>
  <dc:description/>
  <cp:lastModifiedBy>Christian Mintel</cp:lastModifiedBy>
  <cp:lastPrinted>2007-12-10T22:42:04Z</cp:lastPrinted>
  <dcterms:created xsi:type="dcterms:W3CDTF">2003-03-20T22:59:31Z</dcterms:created>
  <dcterms:modified xsi:type="dcterms:W3CDTF">2010-08-10T08:25:16Z</dcterms:modified>
  <cp:category/>
  <cp:version/>
  <cp:contentType/>
  <cp:contentStatus/>
</cp:coreProperties>
</file>