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629" activeTab="1"/>
  </bookViews>
  <sheets>
    <sheet name="Leistung u. Drehmoment" sheetId="1" r:id="rId1"/>
    <sheet name="Getriebe- u. Zugkraftdiagramm" sheetId="2" r:id="rId2"/>
  </sheets>
  <definedNames>
    <definedName name="_xlnm.Print_Area" localSheetId="1">'Getriebe- u. Zugkraftdiagramm'!$A$1:$N$54</definedName>
    <definedName name="_xlnm.Print_Area" localSheetId="0">'Leistung u. Drehmoment'!$A$7:$L$31</definedName>
  </definedNames>
  <calcPr fullCalcOnLoad="1"/>
</workbook>
</file>

<file path=xl/comments1.xml><?xml version="1.0" encoding="utf-8"?>
<comments xmlns="http://schemas.openxmlformats.org/spreadsheetml/2006/main">
  <authors>
    <author>Christian Mintel</author>
  </authors>
  <commentList>
    <comment ref="C3" authorId="0">
      <text>
        <r>
          <rPr>
            <sz val="8"/>
            <rFont val="Tahoma"/>
            <family val="0"/>
          </rPr>
          <t>Die Berechnung der Leistung erfolgt automatisch, wenn Drehmomentwerte (M/Nm) eingetragen sind.</t>
        </r>
      </text>
    </comment>
    <comment ref="A4" authorId="0">
      <text>
        <r>
          <rPr>
            <b/>
            <sz val="8"/>
            <color indexed="10"/>
            <rFont val="Tahoma"/>
            <family val="2"/>
          </rPr>
          <t>Diese Zeile wird automatisch berechnet!</t>
        </r>
      </text>
    </comment>
    <comment ref="A5" authorId="0">
      <text>
        <r>
          <rPr>
            <b/>
            <sz val="8"/>
            <color indexed="10"/>
            <rFont val="Tahoma"/>
            <family val="2"/>
          </rPr>
          <t>Diese Zeile wird automatisch berechnet!</t>
        </r>
      </text>
    </comment>
    <comment ref="A28" authorId="0">
      <text>
        <r>
          <rPr>
            <sz val="8"/>
            <rFont val="Tahoma"/>
            <family val="2"/>
          </rPr>
          <t>Diese Zellen werden automatisch berechnet</t>
        </r>
      </text>
    </comment>
    <comment ref="C1" authorId="0">
      <text>
        <r>
          <rPr>
            <sz val="8"/>
            <rFont val="Tahoma"/>
            <family val="2"/>
          </rPr>
          <t>Es können maximal 11 Werte eingegeben werden.
Für eine aussagekräftige Darstellung sollten mindestens 5 Werte eingegeben werden.</t>
        </r>
      </text>
    </comment>
    <comment ref="C2" authorId="0">
      <text>
        <r>
          <rPr>
            <sz val="8"/>
            <rFont val="Tahoma"/>
            <family val="0"/>
          </rPr>
          <t>Die Berechnung des Drehmoments erfolgt automatisch, wenn Leistungwerte (P/kW) eingetragen sind.</t>
        </r>
      </text>
    </comment>
    <comment ref="A6" authorId="0">
      <text>
        <r>
          <rPr>
            <b/>
            <sz val="8"/>
            <color indexed="10"/>
            <rFont val="Tahoma"/>
            <family val="2"/>
          </rPr>
          <t>Diese Zeile wird automatisch berechnet!</t>
        </r>
      </text>
    </comment>
  </commentList>
</comments>
</file>

<file path=xl/comments2.xml><?xml version="1.0" encoding="utf-8"?>
<comments xmlns="http://schemas.openxmlformats.org/spreadsheetml/2006/main">
  <authors>
    <author>Christian Mintel</author>
    <author>ChM</author>
  </authors>
  <commentList>
    <comment ref="M8" authorId="0">
      <text>
        <r>
          <rPr>
            <sz val="8"/>
            <rFont val="Tahoma"/>
            <family val="0"/>
          </rPr>
          <t>Hier wird automatisch der höchste Wert aus den  Drehzahl-/Drehmomentkurven eingetragen.
Liegt die mittlere Kolbengeschwindigkeit dabei über 25 m/s, wird die Drehzahl für 25 m/s eingetragen
Sollen die Drehzahlsprünge im Getriebeschaubild (rote Linien) nicht angezeigt werden, muss der Zelleninhalt gelöscht werden.</t>
        </r>
      </text>
    </comment>
    <comment ref="F4" authorId="0">
      <text>
        <r>
          <rPr>
            <sz val="8"/>
            <rFont val="Tahoma"/>
            <family val="0"/>
          </rPr>
          <t>Für die Berechnung der Geschwindigkeit im Getriebeschaubild und dem Zugkraftdiagramm kann hier der Reifenabrollumfang eingegeben werden.
Ist der dynamische Abrollumfang unbekannt, wird mit 0,9881* U gerechnet, wobei U der Umfang des Rads ist und aus Reifenbreite, Querschnittsverhältnis und Felgendurchmesser errechnet wird. Der Wert 0,9613 ist ein Mittelwert aus ca. 100 Reifendaten und ergibt eine Abweichung von maximal 0,2%.
Für PKW-Reifen beträgt der Korrekturfaktor 0,97129 .</t>
        </r>
      </text>
    </comment>
    <comment ref="O10" authorId="0">
      <text>
        <r>
          <rPr>
            <sz val="8"/>
            <rFont val="Tahoma"/>
            <family val="0"/>
          </rPr>
          <t>Hier kann ein Faktor eingegeben werden, um den Maximalwert der Fahrwiderstandsparabeln im Verhältnis zur maximalen Zugkraft des Fahrzeugs anzupassen.</t>
        </r>
      </text>
    </comment>
    <comment ref="O22" authorId="0">
      <text>
        <r>
          <rPr>
            <sz val="8"/>
            <rFont val="Tahoma"/>
            <family val="2"/>
          </rPr>
          <t>Hier kann ein Faktor eingegeben werden, um den Maximalwert der Fahrwiderstandsparabeln im Verhältnis zur maximalen Geschwindigkeit des Fahrzeugs anzupassen.</t>
        </r>
      </text>
    </comment>
    <comment ref="T24" authorId="0">
      <text>
        <r>
          <rPr>
            <sz val="8"/>
            <rFont val="Tahoma"/>
            <family val="2"/>
          </rPr>
          <t>Die Eingabe für 30% lautet entweder 30 oder 0,3.
Ist ein Zellenwert nicht sichtbar, wird die entsprechende Parabel nicht dargestellt, da die daraus folgende  notwendige Zugkraft erheblich größer ist als die Zugkraft, die das Fahrzeug maximal aufbringt. Wenn trotzdem 10 Fahrwiderstandsparabeln angezeigt werden sollen, müssen kleinere Abstände zwischen den Steigungen eingegeben werden (z.B. -5%, 0%, 5%, 10%, 15%, usw.) . Es können beliebige Werte eingegeben werden.
Die unterste Parabel entspricht immer dem kleinsten Prozentwert (0%=ebene Straße im Beispiel). Die Werte geben die Steigung der Straße an (100%=45°).
Auf Autobahnen beträgt die maximale Steigung ca. 8%, bzw. das maximale Gefälle -8%.</t>
        </r>
      </text>
    </comment>
    <comment ref="T14" authorId="0">
      <text>
        <r>
          <rPr>
            <sz val="8"/>
            <rFont val="Tahoma"/>
            <family val="0"/>
          </rPr>
          <t>Wenn die Fahrwiderstandsparabeln im Zugkraftdiagramm (rote Kurven) nicht angezeigt werden sollen, muss in diesem Feld ein "n" eingetragen werden.</t>
        </r>
      </text>
    </comment>
    <comment ref="A107" authorId="0">
      <text>
        <r>
          <rPr>
            <b/>
            <sz val="8"/>
            <color indexed="10"/>
            <rFont val="Tahoma"/>
            <family val="2"/>
          </rPr>
          <t>In dieser Tabelle werden die Fahrwiderstandsparabeln automatisch berechnet.</t>
        </r>
      </text>
    </comment>
    <comment ref="J98" authorId="0">
      <text>
        <r>
          <rPr>
            <b/>
            <sz val="8"/>
            <color indexed="10"/>
            <rFont val="Tahoma"/>
            <family val="2"/>
          </rPr>
          <t>In dieser Tabelle werden die Werte des Getriebeschaubilds automatisch berechnet.</t>
        </r>
        <r>
          <rPr>
            <b/>
            <sz val="8"/>
            <rFont val="Tahoma"/>
            <family val="0"/>
          </rPr>
          <t xml:space="preserve">
</t>
        </r>
        <r>
          <rPr>
            <sz val="8"/>
            <rFont val="Tahoma"/>
            <family val="0"/>
          </rPr>
          <t xml:space="preserve">
</t>
        </r>
      </text>
    </comment>
    <comment ref="A98" authorId="0">
      <text>
        <r>
          <rPr>
            <b/>
            <sz val="8"/>
            <color indexed="10"/>
            <rFont val="Tahoma"/>
            <family val="2"/>
          </rPr>
          <t>In dieser Tabelle werden die Drehzahlsprünge im Getriebeschaubild automatisch berechnet.</t>
        </r>
        <r>
          <rPr>
            <sz val="8"/>
            <color indexed="10"/>
            <rFont val="Tahoma"/>
            <family val="2"/>
          </rPr>
          <t xml:space="preserve">
</t>
        </r>
      </text>
    </comment>
    <comment ref="A83" authorId="0">
      <text>
        <r>
          <rPr>
            <b/>
            <sz val="8"/>
            <color indexed="10"/>
            <rFont val="Tahoma"/>
            <family val="2"/>
          </rPr>
          <t>In dieser Tabelle werden die Zugkräfte und die Geschwindigkeiten in den jeweiligen Gängen automatisch berechnet.</t>
        </r>
      </text>
    </comment>
    <comment ref="B57" authorId="0">
      <text>
        <r>
          <rPr>
            <sz val="8"/>
            <rFont val="Tahoma"/>
            <family val="0"/>
          </rPr>
          <t>Hier kann der Hub des Motors eingegeben werden, um einen Überblick über die mittleren Kolbengeschwindigkeiten zu erhalten.
Beim Hochschalten können 25 m/s als Grenzwert angesehen werden.
Im letzten Gang sollten 20 m/s nicht überschritten werden (Dauerhöchsgeschwindigkeit).</t>
        </r>
      </text>
    </comment>
    <comment ref="C8" authorId="0">
      <text>
        <r>
          <rPr>
            <sz val="8"/>
            <rFont val="Tahoma"/>
            <family val="2"/>
          </rPr>
          <t>Der Wirkungsgrad einer Kette beträgt ca.:
0,95 (neuwertig, ohne O-Ringe) 
0,95 (neuwertig, mit O-Ringen)</t>
        </r>
        <r>
          <rPr>
            <sz val="8"/>
            <rFont val="Tahoma"/>
            <family val="0"/>
          </rPr>
          <t xml:space="preserve">
Der Wirkungsgrad der PKW-Achsgetriebe beträgt bei geradverzahnten Antrieben 0,98-0,99 und bei Hypoidachsantrieben ca. 0,97-0,98</t>
        </r>
      </text>
    </comment>
    <comment ref="R16" authorId="0">
      <text>
        <r>
          <rPr>
            <sz val="8"/>
            <rFont val="Tahoma"/>
            <family val="2"/>
          </rPr>
          <t>Hier können die Werte für die optimalen Schaltpunkte, die aus dem Zugkraftdiagramm abgelesen werden müssen, eingetragen werden.</t>
        </r>
        <r>
          <rPr>
            <sz val="8"/>
            <rFont val="Tahoma"/>
            <family val="0"/>
          </rPr>
          <t xml:space="preserve">
Wenn keine Eintragungen vorhanden sind wird als Schaltdrehzahl die oben angegebene benutzt</t>
        </r>
      </text>
    </comment>
    <comment ref="D4" authorId="0">
      <text>
        <r>
          <rPr>
            <sz val="8"/>
            <rFont val="Tahoma"/>
            <family val="2"/>
          </rPr>
          <t>Hier muss angegeben werden, ob es sich um einen Auto- oder Motorradreifen handelt.
Die Berechnung des Abrollumfangs U</t>
        </r>
        <r>
          <rPr>
            <vertAlign val="subscript"/>
            <sz val="8"/>
            <rFont val="Tahoma"/>
            <family val="2"/>
          </rPr>
          <t xml:space="preserve">dyn </t>
        </r>
        <r>
          <rPr>
            <sz val="8"/>
            <rFont val="Tahoma"/>
            <family val="0"/>
          </rPr>
          <t xml:space="preserve">
erfolgt  mit verschiedenen Korrekturfaktoren.</t>
        </r>
      </text>
    </comment>
    <comment ref="A143" authorId="1">
      <text>
        <r>
          <rPr>
            <b/>
            <sz val="8"/>
            <color indexed="10"/>
            <rFont val="Tahoma"/>
            <family val="2"/>
          </rPr>
          <t>In dieser Tabelle werden die Werte für die Leistungshyperbel berechnet</t>
        </r>
      </text>
    </comment>
    <comment ref="A147" authorId="1">
      <text>
        <r>
          <rPr>
            <b/>
            <sz val="8"/>
            <color indexed="10"/>
            <rFont val="Tahoma"/>
            <family val="2"/>
          </rPr>
          <t>In dieser Tabelle werden die Werte für die Leistungshyperbel berechnet</t>
        </r>
      </text>
    </comment>
    <comment ref="E8" authorId="0">
      <text>
        <r>
          <rPr>
            <sz val="8"/>
            <rFont val="Tahoma"/>
            <family val="0"/>
          </rPr>
          <t xml:space="preserve">Der Wirkungsgrad der Achsgetriebe beträgt bei geradverzahnten Antrieben 0,98-0,99 und bei Hypoidachsantrieben ca 0,97-0,98
</t>
        </r>
      </text>
    </comment>
    <comment ref="F8" authorId="0">
      <text>
        <r>
          <rPr>
            <sz val="8"/>
            <rFont val="Tahoma"/>
            <family val="2"/>
          </rPr>
          <t xml:space="preserve">Als Anhaltswerte können folgende Wirkungsgrade angenommen werden:
Frontantrieb (gleichachsiges Getriebe)  0,93-0,95
Heckmotor (gleichachsiges Getriebe)  0,93-0,95
Standardantrieb (ungleichachsiges Getriebe): 0,90-0,94
Standardantrieb im direkten Gang (i=1): 0,96-0,98
Prinzipiell gilt, dass große Übersetzungen einen geringeren Wirkungsgrad aufweisen als kleine Übersetzungen.
Bei Allradfahrzeugen mit Verteilergetrieben verringert sich der Wirkungsgrad auf bis zu 0,8 und in Geländegängen (Kriechgänge) auf bis zu 0,6.
Die Angaben sind Schätzwerte, bzw. Literaturangaben! </t>
        </r>
      </text>
    </comment>
    <comment ref="G4" authorId="0">
      <text>
        <r>
          <rPr>
            <sz val="8"/>
            <rFont val="Tahoma"/>
            <family val="0"/>
          </rPr>
          <t>0,015 gilt für Breitreifen auf Asphalt, für schmale Reifen (z.B. 135er) 0,012 einsetzen</t>
        </r>
      </text>
    </comment>
    <comment ref="I4" authorId="0">
      <text>
        <r>
          <rPr>
            <sz val="8"/>
            <rFont val="Tahoma"/>
            <family val="2"/>
          </rPr>
          <t>Hier kann das Leergewicht eingegeben werden. Die Fahrzeugmasse hat hauptsächlich auf die Zugkraft (=Beschleunigung) Einfluss.</t>
        </r>
      </text>
    </comment>
    <comment ref="J4" authorId="0">
      <text>
        <r>
          <rPr>
            <sz val="8"/>
            <rFont val="Tahoma"/>
            <family val="0"/>
          </rPr>
          <t>Fahrzeugbreite und -höhe werden nur benötigt, wenn die Stirnfläche nicht bekannt ist.</t>
        </r>
      </text>
    </comment>
    <comment ref="K4" authorId="0">
      <text>
        <r>
          <rPr>
            <sz val="8"/>
            <rFont val="Tahoma"/>
            <family val="2"/>
          </rPr>
          <t>Fahrzeugbreite und -höhe werden nur benötigt, wenn die Stirnfläche nicht bekannt ist.</t>
        </r>
      </text>
    </comment>
    <comment ref="L4" authorId="0">
      <text>
        <r>
          <rPr>
            <sz val="8"/>
            <rFont val="Tahoma"/>
            <family val="0"/>
          </rPr>
          <t>Die Stirnfläche wird automatisch mit 0,85*Breite*Höhe berechnet,
kann aber auch überschrieben werden.
Wenn die Stirnfläche bekannt ist, müssen Fahrzeugbreite und -höhe nicht eingegeben werden.</t>
        </r>
      </text>
    </comment>
    <comment ref="N4" authorId="0">
      <text>
        <r>
          <rPr>
            <sz val="8"/>
            <rFont val="Tahoma"/>
            <family val="0"/>
          </rPr>
          <t>Für Pkw nach Baujahr 1990 beträgt der c</t>
        </r>
        <r>
          <rPr>
            <vertAlign val="subscript"/>
            <sz val="8"/>
            <rFont val="Tahoma"/>
            <family val="2"/>
          </rPr>
          <t>W</t>
        </r>
        <r>
          <rPr>
            <sz val="8"/>
            <rFont val="Tahoma"/>
            <family val="0"/>
          </rPr>
          <t>-Wert ca. 0,3.
Für ältere Fahrzeuge (Baujahr vor 1980) ca. 0,4.
Für Geländefahrzeuge ca. 0,42</t>
        </r>
      </text>
    </comment>
    <comment ref="Q10" authorId="0">
      <text>
        <r>
          <rPr>
            <sz val="8"/>
            <rFont val="Tahoma"/>
            <family val="0"/>
          </rPr>
          <t>Hier kann ein Faktor eingegeben werden, um den Maximalwert der Leistungshyperbel im Verhältnis zur maximalen Zugkraft des Fahrzeugs anzupassen.</t>
        </r>
      </text>
    </comment>
  </commentList>
</comments>
</file>

<file path=xl/sharedStrings.xml><?xml version="1.0" encoding="utf-8"?>
<sst xmlns="http://schemas.openxmlformats.org/spreadsheetml/2006/main" count="102" uniqueCount="84">
  <si>
    <t>F1</t>
  </si>
  <si>
    <t>F2</t>
  </si>
  <si>
    <t>F3</t>
  </si>
  <si>
    <t>F4</t>
  </si>
  <si>
    <t>F5</t>
  </si>
  <si>
    <t>3.</t>
  </si>
  <si>
    <t>4.</t>
  </si>
  <si>
    <t>5.</t>
  </si>
  <si>
    <t>1.</t>
  </si>
  <si>
    <t>2.</t>
  </si>
  <si>
    <t>6.</t>
  </si>
  <si>
    <t>V1</t>
  </si>
  <si>
    <t>V2</t>
  </si>
  <si>
    <t>V3</t>
  </si>
  <si>
    <t>V4</t>
  </si>
  <si>
    <t>V5</t>
  </si>
  <si>
    <t>V6</t>
  </si>
  <si>
    <t>F6</t>
  </si>
  <si>
    <t>P/kW</t>
  </si>
  <si>
    <r>
      <t>n/min</t>
    </r>
    <r>
      <rPr>
        <b/>
        <vertAlign val="superscript"/>
        <sz val="10"/>
        <rFont val="Arial"/>
        <family val="2"/>
      </rPr>
      <t>-1</t>
    </r>
  </si>
  <si>
    <t>V</t>
  </si>
  <si>
    <t>Übersetzungen</t>
  </si>
  <si>
    <t>Wirkungsgrad</t>
  </si>
  <si>
    <r>
      <t>c</t>
    </r>
    <r>
      <rPr>
        <b/>
        <vertAlign val="subscript"/>
        <sz val="10"/>
        <rFont val="Arial"/>
        <family val="2"/>
      </rPr>
      <t>W</t>
    </r>
  </si>
  <si>
    <r>
      <t>M</t>
    </r>
    <r>
      <rPr>
        <b/>
        <vertAlign val="subscript"/>
        <sz val="10"/>
        <rFont val="Arial"/>
        <family val="2"/>
      </rPr>
      <t>berechnet</t>
    </r>
    <r>
      <rPr>
        <b/>
        <sz val="10"/>
        <rFont val="Arial"/>
        <family val="2"/>
      </rPr>
      <t>/Nm</t>
    </r>
  </si>
  <si>
    <r>
      <t>P</t>
    </r>
    <r>
      <rPr>
        <b/>
        <vertAlign val="subscript"/>
        <sz val="10"/>
        <rFont val="Arial"/>
        <family val="2"/>
      </rPr>
      <t>berechnet</t>
    </r>
    <r>
      <rPr>
        <b/>
        <sz val="10"/>
        <rFont val="Arial"/>
        <family val="2"/>
      </rPr>
      <t>/kW</t>
    </r>
  </si>
  <si>
    <r>
      <t>n</t>
    </r>
    <r>
      <rPr>
        <vertAlign val="subscript"/>
        <sz val="10"/>
        <rFont val="Arial"/>
        <family val="2"/>
      </rPr>
      <t>min</t>
    </r>
  </si>
  <si>
    <r>
      <t>n</t>
    </r>
    <r>
      <rPr>
        <vertAlign val="subscript"/>
        <sz val="10"/>
        <rFont val="Arial"/>
        <family val="2"/>
      </rPr>
      <t>max</t>
    </r>
  </si>
  <si>
    <r>
      <t>v</t>
    </r>
    <r>
      <rPr>
        <vertAlign val="subscript"/>
        <sz val="10"/>
        <rFont val="Arial"/>
        <family val="2"/>
      </rPr>
      <t>schalt</t>
    </r>
  </si>
  <si>
    <t xml:space="preserve">M/Nm </t>
  </si>
  <si>
    <t>Fmax</t>
  </si>
  <si>
    <t>7.</t>
  </si>
  <si>
    <t>V7</t>
  </si>
  <si>
    <t>F7</t>
  </si>
  <si>
    <t>Vmax</t>
  </si>
  <si>
    <t>P/PS</t>
  </si>
  <si>
    <t>M/Nm</t>
  </si>
  <si>
    <t>j</t>
  </si>
  <si>
    <r>
      <t>v</t>
    </r>
    <r>
      <rPr>
        <vertAlign val="subscript"/>
        <sz val="10"/>
        <rFont val="Arial"/>
        <family val="2"/>
      </rPr>
      <t>min</t>
    </r>
  </si>
  <si>
    <r>
      <t>v</t>
    </r>
    <r>
      <rPr>
        <vertAlign val="subscript"/>
        <sz val="10"/>
        <rFont val="Arial"/>
        <family val="2"/>
      </rPr>
      <t>max</t>
    </r>
  </si>
  <si>
    <t>Rollwider-
standszahl</t>
  </si>
  <si>
    <r>
      <t>U</t>
    </r>
    <r>
      <rPr>
        <b/>
        <u val="single"/>
        <vertAlign val="subscript"/>
        <sz val="10"/>
        <rFont val="Arial"/>
        <family val="2"/>
      </rPr>
      <t>dyn</t>
    </r>
    <r>
      <rPr>
        <b/>
        <vertAlign val="subscript"/>
        <sz val="10"/>
        <rFont val="Arial"/>
        <family val="2"/>
      </rPr>
      <t xml:space="preserve">
</t>
    </r>
    <r>
      <rPr>
        <b/>
        <sz val="10"/>
        <rFont val="Arial"/>
        <family val="2"/>
      </rPr>
      <t>m</t>
    </r>
  </si>
  <si>
    <r>
      <t>Felge</t>
    </r>
    <r>
      <rPr>
        <b/>
        <sz val="10"/>
        <rFont val="Arial"/>
        <family val="2"/>
      </rPr>
      <t xml:space="preserve">
Zoll</t>
    </r>
  </si>
  <si>
    <r>
      <t>Breite</t>
    </r>
    <r>
      <rPr>
        <b/>
        <sz val="10"/>
        <rFont val="Arial"/>
        <family val="2"/>
      </rPr>
      <t xml:space="preserve">
mm</t>
    </r>
  </si>
  <si>
    <t>Reifen</t>
  </si>
  <si>
    <t>Fahrzeug</t>
  </si>
  <si>
    <r>
      <t>Masse</t>
    </r>
    <r>
      <rPr>
        <b/>
        <sz val="10"/>
        <rFont val="Arial"/>
        <family val="2"/>
      </rPr>
      <t xml:space="preserve">
kg</t>
    </r>
  </si>
  <si>
    <r>
      <t>Breite</t>
    </r>
    <r>
      <rPr>
        <b/>
        <sz val="10"/>
        <rFont val="Arial"/>
        <family val="2"/>
      </rPr>
      <t xml:space="preserve">
m</t>
    </r>
  </si>
  <si>
    <r>
      <t>Höhe</t>
    </r>
    <r>
      <rPr>
        <b/>
        <sz val="10"/>
        <rFont val="Arial"/>
        <family val="2"/>
      </rPr>
      <t xml:space="preserve">
m</t>
    </r>
  </si>
  <si>
    <r>
      <t>Stirnfläche</t>
    </r>
    <r>
      <rPr>
        <b/>
        <sz val="10"/>
        <rFont val="Arial"/>
        <family val="2"/>
      </rPr>
      <t xml:space="preserve">
m²</t>
    </r>
  </si>
  <si>
    <t>F
(Diagramm)</t>
  </si>
  <si>
    <t>F
(Rechnung)</t>
  </si>
  <si>
    <r>
      <t>Schaltdrehzahl</t>
    </r>
    <r>
      <rPr>
        <b/>
        <sz val="10"/>
        <rFont val="Arial"/>
        <family val="2"/>
      </rPr>
      <t xml:space="preserve">
min</t>
    </r>
    <r>
      <rPr>
        <b/>
        <vertAlign val="superscript"/>
        <sz val="10"/>
        <rFont val="Arial"/>
        <family val="2"/>
      </rPr>
      <t>-1</t>
    </r>
  </si>
  <si>
    <r>
      <t xml:space="preserve">Hub
</t>
    </r>
    <r>
      <rPr>
        <sz val="10"/>
        <rFont val="Arial"/>
        <family val="2"/>
      </rPr>
      <t>mm</t>
    </r>
  </si>
  <si>
    <r>
      <t>Drehzahl</t>
    </r>
    <r>
      <rPr>
        <sz val="10"/>
        <rFont val="Arial"/>
        <family val="0"/>
      </rPr>
      <t xml:space="preserve">
min</t>
    </r>
    <r>
      <rPr>
        <vertAlign val="superscript"/>
        <sz val="10"/>
        <rFont val="Arial"/>
        <family val="2"/>
      </rPr>
      <t>-1</t>
    </r>
  </si>
  <si>
    <r>
      <t>V</t>
    </r>
    <r>
      <rPr>
        <vertAlign val="subscript"/>
        <sz val="10"/>
        <rFont val="Arial"/>
        <family val="2"/>
      </rPr>
      <t>Schalt</t>
    </r>
  </si>
  <si>
    <r>
      <t>V</t>
    </r>
    <r>
      <rPr>
        <u val="single"/>
        <vertAlign val="subscript"/>
        <sz val="10"/>
        <rFont val="Arial"/>
        <family val="2"/>
      </rPr>
      <t xml:space="preserve">1.
</t>
    </r>
    <r>
      <rPr>
        <sz val="10"/>
        <rFont val="Arial"/>
        <family val="2"/>
      </rPr>
      <t>km/h</t>
    </r>
  </si>
  <si>
    <r>
      <t>V</t>
    </r>
    <r>
      <rPr>
        <u val="single"/>
        <vertAlign val="subscript"/>
        <sz val="10"/>
        <rFont val="Arial"/>
        <family val="2"/>
      </rPr>
      <t xml:space="preserve">2.
</t>
    </r>
    <r>
      <rPr>
        <sz val="10"/>
        <rFont val="Arial"/>
        <family val="2"/>
      </rPr>
      <t>km/h</t>
    </r>
  </si>
  <si>
    <r>
      <t>V</t>
    </r>
    <r>
      <rPr>
        <u val="single"/>
        <vertAlign val="subscript"/>
        <sz val="10"/>
        <rFont val="Arial"/>
        <family val="2"/>
      </rPr>
      <t xml:space="preserve">3.
</t>
    </r>
    <r>
      <rPr>
        <sz val="10"/>
        <rFont val="Arial"/>
        <family val="2"/>
      </rPr>
      <t>km/h</t>
    </r>
  </si>
  <si>
    <r>
      <t>V</t>
    </r>
    <r>
      <rPr>
        <u val="single"/>
        <vertAlign val="subscript"/>
        <sz val="10"/>
        <rFont val="Arial"/>
        <family val="2"/>
      </rPr>
      <t xml:space="preserve">4.
</t>
    </r>
    <r>
      <rPr>
        <sz val="10"/>
        <rFont val="Arial"/>
        <family val="2"/>
      </rPr>
      <t>km/h</t>
    </r>
  </si>
  <si>
    <r>
      <t>V</t>
    </r>
    <r>
      <rPr>
        <u val="single"/>
        <vertAlign val="subscript"/>
        <sz val="10"/>
        <rFont val="Arial"/>
        <family val="2"/>
      </rPr>
      <t xml:space="preserve">5.
</t>
    </r>
    <r>
      <rPr>
        <sz val="10"/>
        <rFont val="Arial"/>
        <family val="2"/>
      </rPr>
      <t>km/h</t>
    </r>
  </si>
  <si>
    <r>
      <t>V</t>
    </r>
    <r>
      <rPr>
        <u val="single"/>
        <vertAlign val="subscript"/>
        <sz val="10"/>
        <rFont val="Arial"/>
        <family val="2"/>
      </rPr>
      <t xml:space="preserve">6.
</t>
    </r>
    <r>
      <rPr>
        <sz val="10"/>
        <rFont val="Arial"/>
        <family val="2"/>
      </rPr>
      <t>km/h</t>
    </r>
  </si>
  <si>
    <r>
      <t>V</t>
    </r>
    <r>
      <rPr>
        <u val="single"/>
        <vertAlign val="subscript"/>
        <sz val="10"/>
        <rFont val="Arial"/>
        <family val="2"/>
      </rPr>
      <t xml:space="preserve">7.
</t>
    </r>
    <r>
      <rPr>
        <sz val="10"/>
        <rFont val="Arial"/>
        <family val="2"/>
      </rPr>
      <t>km/h</t>
    </r>
  </si>
  <si>
    <r>
      <t>V</t>
    </r>
    <r>
      <rPr>
        <u val="single"/>
        <vertAlign val="subscript"/>
        <sz val="10"/>
        <rFont val="Arial"/>
        <family val="2"/>
      </rPr>
      <t>Kolben</t>
    </r>
    <r>
      <rPr>
        <sz val="10"/>
        <rFont val="Arial"/>
        <family val="0"/>
      </rPr>
      <t xml:space="preserve">
m/s</t>
    </r>
  </si>
  <si>
    <r>
      <t>i</t>
    </r>
    <r>
      <rPr>
        <b/>
        <vertAlign val="subscript"/>
        <sz val="10"/>
        <rFont val="Arial"/>
        <family val="2"/>
      </rPr>
      <t>Primär</t>
    </r>
  </si>
  <si>
    <r>
      <t>z</t>
    </r>
    <r>
      <rPr>
        <b/>
        <vertAlign val="subscript"/>
        <sz val="10"/>
        <rFont val="Arial"/>
        <family val="2"/>
      </rPr>
      <t>Ritzel</t>
    </r>
  </si>
  <si>
    <r>
      <t>z</t>
    </r>
    <r>
      <rPr>
        <b/>
        <vertAlign val="subscript"/>
        <sz val="10"/>
        <rFont val="Arial"/>
        <family val="2"/>
      </rPr>
      <t>Kettenrad</t>
    </r>
  </si>
  <si>
    <t>Geschwindigkeit</t>
  </si>
  <si>
    <t>Gang</t>
  </si>
  <si>
    <t>M</t>
  </si>
  <si>
    <r>
      <t>A</t>
    </r>
    <r>
      <rPr>
        <sz val="10"/>
        <rFont val="Arial"/>
        <family val="2"/>
      </rPr>
      <t>uto/</t>
    </r>
    <r>
      <rPr>
        <b/>
        <sz val="10"/>
        <rFont val="Arial"/>
        <family val="2"/>
      </rPr>
      <t xml:space="preserve">
M</t>
    </r>
    <r>
      <rPr>
        <sz val="10"/>
        <rFont val="Arial"/>
        <family val="2"/>
      </rPr>
      <t>otorrad</t>
    </r>
  </si>
  <si>
    <t>Quer-
schnitt</t>
  </si>
  <si>
    <t>Fahrwider-
stands-
parabeln</t>
  </si>
  <si>
    <r>
      <t>V</t>
    </r>
    <r>
      <rPr>
        <vertAlign val="subscript"/>
        <sz val="10"/>
        <rFont val="Arial"/>
        <family val="2"/>
      </rPr>
      <t>Schalt opti</t>
    </r>
  </si>
  <si>
    <r>
      <t>n</t>
    </r>
    <r>
      <rPr>
        <vertAlign val="subscript"/>
        <sz val="10"/>
        <rFont val="Arial"/>
        <family val="2"/>
      </rPr>
      <t>Schalt opti</t>
    </r>
  </si>
  <si>
    <t>Schaltdrehzahl, optimal</t>
  </si>
  <si>
    <t>P</t>
  </si>
  <si>
    <t>n</t>
  </si>
  <si>
    <t>v</t>
  </si>
  <si>
    <t>F</t>
  </si>
  <si>
    <t>Eta</t>
  </si>
  <si>
    <t>Auto/
Motorrad</t>
  </si>
  <si>
    <t>BMW M3 CSL Bj.2003
3246 cm³, 91 X 87</t>
  </si>
  <si>
    <r>
      <t>P</t>
    </r>
    <r>
      <rPr>
        <b/>
        <vertAlign val="subscript"/>
        <sz val="10"/>
        <rFont val="Arial"/>
        <family val="2"/>
      </rPr>
      <t>berechnet</t>
    </r>
    <r>
      <rPr>
        <b/>
        <sz val="10"/>
        <rFont val="Arial"/>
        <family val="2"/>
      </rPr>
      <t>/PS</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</si>
</sst>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quot;m&quot;"/>
    <numFmt numFmtId="174" formatCode="0.0&quot;m&quot;"/>
    <numFmt numFmtId="175" formatCode="0.000&quot;m&quot;"/>
    <numFmt numFmtId="176" formatCode="0.000"/>
  </numFmts>
  <fonts count="32">
    <font>
      <sz val="10"/>
      <name val="Arial"/>
      <family val="0"/>
    </font>
    <font>
      <b/>
      <sz val="11"/>
      <name val="Arial"/>
      <family val="2"/>
    </font>
    <font>
      <b/>
      <sz val="12"/>
      <name val="Arial"/>
      <family val="2"/>
    </font>
    <font>
      <sz val="11"/>
      <name val="Arial"/>
      <family val="2"/>
    </font>
    <font>
      <b/>
      <vertAlign val="superscript"/>
      <sz val="11"/>
      <name val="Arial"/>
      <family val="2"/>
    </font>
    <font>
      <b/>
      <sz val="10"/>
      <name val="Arial"/>
      <family val="2"/>
    </font>
    <font>
      <b/>
      <vertAlign val="subscript"/>
      <sz val="10"/>
      <name val="Arial"/>
      <family val="2"/>
    </font>
    <font>
      <b/>
      <vertAlign val="superscript"/>
      <sz val="10"/>
      <name val="Arial"/>
      <family val="2"/>
    </font>
    <font>
      <sz val="8"/>
      <name val="Arial"/>
      <family val="2"/>
    </font>
    <font>
      <b/>
      <sz val="11"/>
      <color indexed="12"/>
      <name val="Arial"/>
      <family val="2"/>
    </font>
    <font>
      <b/>
      <sz val="11"/>
      <color indexed="10"/>
      <name val="Arial"/>
      <family val="2"/>
    </font>
    <font>
      <sz val="8"/>
      <name val="Tahoma"/>
      <family val="0"/>
    </font>
    <font>
      <b/>
      <sz val="8"/>
      <name val="Tahoma"/>
      <family val="0"/>
    </font>
    <font>
      <vertAlign val="subscript"/>
      <sz val="8"/>
      <name val="Tahoma"/>
      <family val="2"/>
    </font>
    <font>
      <sz val="18.5"/>
      <name val="Arial"/>
      <family val="0"/>
    </font>
    <font>
      <b/>
      <sz val="14"/>
      <name val="Arial"/>
      <family val="2"/>
    </font>
    <font>
      <vertAlign val="subscript"/>
      <sz val="10"/>
      <name val="Arial"/>
      <family val="2"/>
    </font>
    <font>
      <b/>
      <sz val="8"/>
      <color indexed="10"/>
      <name val="Tahoma"/>
      <family val="2"/>
    </font>
    <font>
      <sz val="8"/>
      <color indexed="10"/>
      <name val="Tahoma"/>
      <family val="2"/>
    </font>
    <font>
      <sz val="18.75"/>
      <name val="Arial"/>
      <family val="0"/>
    </font>
    <font>
      <sz val="19"/>
      <name val="Arial"/>
      <family val="0"/>
    </font>
    <font>
      <sz val="12"/>
      <name val="Arial"/>
      <family val="2"/>
    </font>
    <font>
      <vertAlign val="superscript"/>
      <sz val="10"/>
      <name val="Arial"/>
      <family val="2"/>
    </font>
    <font>
      <b/>
      <u val="single"/>
      <sz val="10"/>
      <name val="Arial"/>
      <family val="2"/>
    </font>
    <font>
      <b/>
      <u val="single"/>
      <vertAlign val="subscript"/>
      <sz val="10"/>
      <name val="Arial"/>
      <family val="2"/>
    </font>
    <font>
      <sz val="14.75"/>
      <name val="Arial"/>
      <family val="0"/>
    </font>
    <font>
      <u val="single"/>
      <sz val="10"/>
      <name val="Arial"/>
      <family val="2"/>
    </font>
    <font>
      <u val="single"/>
      <vertAlign val="subscript"/>
      <sz val="10"/>
      <name val="Arial"/>
      <family val="2"/>
    </font>
    <font>
      <sz val="10"/>
      <color indexed="10"/>
      <name val="Arial"/>
      <family val="0"/>
    </font>
    <font>
      <sz val="11"/>
      <color indexed="12"/>
      <name val="Arial"/>
      <family val="2"/>
    </font>
    <font>
      <sz val="11"/>
      <color indexed="10"/>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medium"/>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medium"/>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medium"/>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6">
    <xf numFmtId="0" fontId="0" fillId="0" borderId="0" xfId="0" applyAlignment="1">
      <alignment/>
    </xf>
    <xf numFmtId="0" fontId="0" fillId="0" borderId="0" xfId="0" applyAlignment="1" applyProtection="1">
      <alignment vertical="center"/>
      <protection locked="0"/>
    </xf>
    <xf numFmtId="0" fontId="0" fillId="0" borderId="1" xfId="0"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locked="0"/>
    </xf>
    <xf numFmtId="1" fontId="0" fillId="0" borderId="4" xfId="0" applyNumberFormat="1" applyFont="1" applyFill="1" applyBorder="1" applyAlignment="1" applyProtection="1">
      <alignment horizontal="center" vertical="center"/>
      <protection locked="0"/>
    </xf>
    <xf numFmtId="1" fontId="0" fillId="0" borderId="5" xfId="0" applyNumberFormat="1" applyFont="1" applyFill="1" applyBorder="1" applyAlignment="1" applyProtection="1">
      <alignment horizontal="center" vertical="center"/>
      <protection locked="0"/>
    </xf>
    <xf numFmtId="1" fontId="0" fillId="0" borderId="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0" fillId="0" borderId="0" xfId="0"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1" fontId="0" fillId="2" borderId="7" xfId="0" applyNumberFormat="1" applyFont="1" applyFill="1" applyBorder="1" applyAlignment="1" applyProtection="1">
      <alignment horizontal="center" vertical="center"/>
      <protection/>
    </xf>
    <xf numFmtId="1" fontId="0" fillId="2" borderId="8" xfId="0" applyNumberFormat="1" applyFont="1" applyFill="1" applyBorder="1" applyAlignment="1" applyProtection="1">
      <alignment horizontal="center" vertical="center"/>
      <protection/>
    </xf>
    <xf numFmtId="1" fontId="0" fillId="2" borderId="0" xfId="0" applyNumberFormat="1" applyFont="1" applyFill="1" applyBorder="1" applyAlignment="1" applyProtection="1">
      <alignment horizontal="center" vertical="center"/>
      <protection/>
    </xf>
    <xf numFmtId="1" fontId="0" fillId="2" borderId="9" xfId="0" applyNumberFormat="1" applyFont="1" applyFill="1" applyBorder="1" applyAlignment="1" applyProtection="1">
      <alignment horizontal="center" vertical="center"/>
      <protection/>
    </xf>
    <xf numFmtId="1" fontId="0" fillId="2" borderId="10" xfId="0" applyNumberFormat="1" applyFont="1" applyFill="1" applyBorder="1" applyAlignment="1" applyProtection="1">
      <alignment horizontal="center" vertical="center"/>
      <protection/>
    </xf>
    <xf numFmtId="1" fontId="0" fillId="2" borderId="11" xfId="0" applyNumberFormat="1" applyFont="1" applyFill="1" applyBorder="1" applyAlignment="1" applyProtection="1">
      <alignment horizontal="center" vertical="center"/>
      <protection/>
    </xf>
    <xf numFmtId="0" fontId="0" fillId="2" borderId="12" xfId="0" applyFont="1" applyFill="1" applyBorder="1" applyAlignment="1" applyProtection="1">
      <alignment vertical="center"/>
      <protection/>
    </xf>
    <xf numFmtId="0" fontId="0" fillId="2" borderId="7" xfId="0" applyFont="1" applyFill="1" applyBorder="1" applyAlignment="1" applyProtection="1">
      <alignment vertical="center"/>
      <protection/>
    </xf>
    <xf numFmtId="0" fontId="0" fillId="2" borderId="7" xfId="0" applyFont="1" applyFill="1" applyBorder="1" applyAlignment="1" applyProtection="1">
      <alignment horizontal="center" vertical="center"/>
      <protection/>
    </xf>
    <xf numFmtId="1" fontId="0" fillId="2" borderId="13" xfId="0" applyNumberFormat="1" applyFont="1" applyFill="1" applyBorder="1" applyAlignment="1" applyProtection="1">
      <alignment vertical="center"/>
      <protection/>
    </xf>
    <xf numFmtId="1" fontId="0" fillId="2" borderId="14" xfId="0" applyNumberFormat="1" applyFont="1" applyFill="1" applyBorder="1" applyAlignment="1" applyProtection="1">
      <alignment vertical="center"/>
      <protection/>
    </xf>
    <xf numFmtId="0" fontId="0" fillId="2" borderId="0" xfId="0" applyFill="1" applyAlignment="1" applyProtection="1">
      <alignment vertical="center"/>
      <protection/>
    </xf>
    <xf numFmtId="1" fontId="0" fillId="2" borderId="0" xfId="0" applyNumberFormat="1" applyFont="1" applyFill="1" applyBorder="1" applyAlignment="1" applyProtection="1">
      <alignment vertical="center"/>
      <protection/>
    </xf>
    <xf numFmtId="1" fontId="0" fillId="2" borderId="15" xfId="0" applyNumberFormat="1" applyFont="1" applyFill="1" applyBorder="1" applyAlignment="1" applyProtection="1">
      <alignment vertical="center"/>
      <protection/>
    </xf>
    <xf numFmtId="1" fontId="0" fillId="2" borderId="16" xfId="0" applyNumberFormat="1" applyFont="1" applyFill="1" applyBorder="1" applyAlignment="1" applyProtection="1">
      <alignment vertical="center"/>
      <protection/>
    </xf>
    <xf numFmtId="1" fontId="0" fillId="2" borderId="17" xfId="0" applyNumberFormat="1" applyFont="1" applyFill="1" applyBorder="1" applyAlignment="1" applyProtection="1">
      <alignment vertical="center"/>
      <protection/>
    </xf>
    <xf numFmtId="1" fontId="0" fillId="2" borderId="18" xfId="0" applyNumberFormat="1" applyFont="1" applyFill="1" applyBorder="1" applyAlignment="1" applyProtection="1">
      <alignment vertical="center"/>
      <protection/>
    </xf>
    <xf numFmtId="0" fontId="0" fillId="2" borderId="19" xfId="0" applyFill="1" applyBorder="1" applyAlignment="1" applyProtection="1">
      <alignment vertical="center"/>
      <protection/>
    </xf>
    <xf numFmtId="0" fontId="0" fillId="0" borderId="0" xfId="0" applyAlignment="1">
      <alignment vertical="center"/>
    </xf>
    <xf numFmtId="0" fontId="5" fillId="0" borderId="0" xfId="0" applyFont="1" applyFill="1" applyBorder="1" applyAlignment="1" applyProtection="1">
      <alignment horizontal="left" vertical="center"/>
      <protection/>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1" fontId="0" fillId="2" borderId="27" xfId="0" applyNumberFormat="1" applyFont="1" applyFill="1" applyBorder="1" applyAlignment="1" applyProtection="1">
      <alignment vertical="center"/>
      <protection/>
    </xf>
    <xf numFmtId="0" fontId="0" fillId="0" borderId="18" xfId="0" applyFill="1" applyBorder="1" applyAlignment="1" applyProtection="1">
      <alignment vertical="center"/>
      <protection locked="0"/>
    </xf>
    <xf numFmtId="0" fontId="0" fillId="2" borderId="28" xfId="0" applyFont="1" applyFill="1" applyBorder="1" applyAlignment="1" applyProtection="1">
      <alignment horizontal="center" vertical="center"/>
      <protection/>
    </xf>
    <xf numFmtId="1" fontId="0" fillId="2" borderId="29" xfId="0" applyNumberFormat="1" applyFont="1" applyFill="1" applyBorder="1" applyAlignment="1" applyProtection="1">
      <alignment vertical="center"/>
      <protection/>
    </xf>
    <xf numFmtId="0" fontId="0" fillId="0" borderId="29" xfId="0" applyFont="1" applyFill="1" applyBorder="1" applyAlignment="1" applyProtection="1">
      <alignment horizontal="center" vertical="center"/>
      <protection locked="0"/>
    </xf>
    <xf numFmtId="1" fontId="0" fillId="2" borderId="29" xfId="0" applyNumberFormat="1" applyFont="1" applyFill="1" applyBorder="1" applyAlignment="1" applyProtection="1">
      <alignment horizontal="center" vertical="center"/>
      <protection/>
    </xf>
    <xf numFmtId="0" fontId="0" fillId="2" borderId="29" xfId="0" applyFont="1" applyFill="1" applyBorder="1" applyAlignment="1" applyProtection="1">
      <alignment horizontal="center" vertical="center"/>
      <protection/>
    </xf>
    <xf numFmtId="0" fontId="0" fillId="2" borderId="30" xfId="0" applyFont="1" applyFill="1" applyBorder="1" applyAlignment="1" applyProtection="1">
      <alignment horizontal="center" vertical="center"/>
      <protection/>
    </xf>
    <xf numFmtId="1" fontId="0" fillId="2" borderId="31" xfId="0" applyNumberFormat="1" applyFont="1" applyFill="1" applyBorder="1" applyAlignment="1" applyProtection="1">
      <alignment vertical="center"/>
      <protection/>
    </xf>
    <xf numFmtId="2" fontId="0" fillId="0" borderId="32" xfId="0" applyNumberFormat="1" applyFill="1" applyBorder="1" applyAlignment="1" applyProtection="1">
      <alignment horizontal="center" vertical="center"/>
      <protection locked="0"/>
    </xf>
    <xf numFmtId="2" fontId="0" fillId="0" borderId="33" xfId="0" applyNumberFormat="1" applyFill="1" applyBorder="1" applyAlignment="1" applyProtection="1">
      <alignment horizontal="center" vertical="center"/>
      <protection locked="0"/>
    </xf>
    <xf numFmtId="0" fontId="0" fillId="2" borderId="8" xfId="0" applyFont="1" applyFill="1" applyBorder="1" applyAlignment="1" applyProtection="1">
      <alignment vertical="center"/>
      <protection/>
    </xf>
    <xf numFmtId="0" fontId="0" fillId="2" borderId="13" xfId="0" applyFont="1" applyFill="1" applyBorder="1" applyAlignment="1" applyProtection="1">
      <alignment vertical="center"/>
      <protection locked="0"/>
    </xf>
    <xf numFmtId="1" fontId="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 fontId="0" fillId="0" borderId="32" xfId="0" applyNumberFormat="1"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9" fontId="0" fillId="0" borderId="0" xfId="0" applyNumberFormat="1" applyBorder="1" applyAlignment="1" applyProtection="1">
      <alignment horizontal="center" vertical="center"/>
      <protection locked="0"/>
    </xf>
    <xf numFmtId="176" fontId="0" fillId="0" borderId="32" xfId="0" applyNumberFormat="1" applyFill="1" applyBorder="1" applyAlignment="1" applyProtection="1">
      <alignment horizontal="center" vertical="center"/>
      <protection locked="0"/>
    </xf>
    <xf numFmtId="0" fontId="23" fillId="2" borderId="34" xfId="0" applyFont="1" applyFill="1" applyBorder="1" applyAlignment="1" applyProtection="1">
      <alignment horizontal="center" vertical="center" wrapText="1"/>
      <protection/>
    </xf>
    <xf numFmtId="0" fontId="23" fillId="2" borderId="1" xfId="0" applyFont="1" applyFill="1" applyBorder="1" applyAlignment="1" applyProtection="1">
      <alignment horizontal="center" vertical="center" wrapText="1"/>
      <protection/>
    </xf>
    <xf numFmtId="1" fontId="0" fillId="0" borderId="35" xfId="0" applyNumberForma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xf>
    <xf numFmtId="0" fontId="0" fillId="0" borderId="0" xfId="0" applyFill="1" applyBorder="1" applyAlignment="1">
      <alignment vertical="center"/>
    </xf>
    <xf numFmtId="0" fontId="2" fillId="0" borderId="0"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0" fillId="0" borderId="1" xfId="0" applyBorder="1" applyAlignment="1">
      <alignment horizontal="center" vertical="center"/>
    </xf>
    <xf numFmtId="1" fontId="0" fillId="2" borderId="36" xfId="0" applyNumberFormat="1" applyFont="1" applyFill="1" applyBorder="1" applyAlignment="1" applyProtection="1">
      <alignment vertical="center"/>
      <protection/>
    </xf>
    <xf numFmtId="1" fontId="0" fillId="2" borderId="37" xfId="0" applyNumberFormat="1" applyFont="1" applyFill="1" applyBorder="1" applyAlignment="1" applyProtection="1">
      <alignment vertical="center"/>
      <protection/>
    </xf>
    <xf numFmtId="0" fontId="0" fillId="2" borderId="18" xfId="0" applyFont="1" applyFill="1" applyBorder="1" applyAlignment="1" applyProtection="1">
      <alignment vertical="center"/>
      <protection/>
    </xf>
    <xf numFmtId="1" fontId="0" fillId="2" borderId="5" xfId="0" applyNumberFormat="1" applyFont="1" applyFill="1" applyBorder="1" applyAlignment="1" applyProtection="1">
      <alignment vertical="center"/>
      <protection/>
    </xf>
    <xf numFmtId="9" fontId="0" fillId="2" borderId="27" xfId="0" applyNumberFormat="1" applyFont="1" applyFill="1" applyBorder="1" applyAlignment="1" applyProtection="1">
      <alignment vertical="center"/>
      <protection/>
    </xf>
    <xf numFmtId="9" fontId="0" fillId="2" borderId="31" xfId="0" applyNumberFormat="1" applyFont="1" applyFill="1" applyBorder="1" applyAlignment="1" applyProtection="1">
      <alignment vertical="center"/>
      <protection/>
    </xf>
    <xf numFmtId="1" fontId="0" fillId="2" borderId="38" xfId="0" applyNumberFormat="1" applyFont="1" applyFill="1" applyBorder="1" applyAlignment="1" applyProtection="1">
      <alignment horizontal="center" vertical="center"/>
      <protection/>
    </xf>
    <xf numFmtId="1" fontId="0" fillId="2" borderId="17" xfId="0" applyNumberFormat="1" applyFill="1" applyBorder="1" applyAlignment="1">
      <alignment vertical="center"/>
    </xf>
    <xf numFmtId="1" fontId="0" fillId="2" borderId="0" xfId="0" applyNumberFormat="1" applyFill="1" applyBorder="1" applyAlignment="1">
      <alignment vertical="center"/>
    </xf>
    <xf numFmtId="1" fontId="0" fillId="2" borderId="39" xfId="0" applyNumberFormat="1" applyFill="1" applyBorder="1" applyAlignment="1">
      <alignment vertical="center"/>
    </xf>
    <xf numFmtId="1" fontId="0" fillId="2" borderId="7" xfId="0" applyNumberFormat="1" applyFill="1" applyBorder="1" applyAlignment="1">
      <alignment vertical="center"/>
    </xf>
    <xf numFmtId="1" fontId="0" fillId="2" borderId="8" xfId="0" applyNumberFormat="1" applyFill="1" applyBorder="1" applyAlignment="1">
      <alignment vertical="center"/>
    </xf>
    <xf numFmtId="1" fontId="0" fillId="2" borderId="9" xfId="0" applyNumberFormat="1" applyFill="1" applyBorder="1" applyAlignment="1">
      <alignment vertical="center"/>
    </xf>
    <xf numFmtId="1" fontId="0" fillId="2" borderId="40" xfId="0" applyNumberFormat="1" applyFill="1" applyBorder="1" applyAlignment="1">
      <alignment vertical="center"/>
    </xf>
    <xf numFmtId="1" fontId="0" fillId="2" borderId="10" xfId="0" applyNumberFormat="1" applyFill="1" applyBorder="1" applyAlignment="1">
      <alignment vertical="center"/>
    </xf>
    <xf numFmtId="1" fontId="0" fillId="2" borderId="11" xfId="0" applyNumberFormat="1" applyFill="1" applyBorder="1" applyAlignment="1">
      <alignment vertical="center"/>
    </xf>
    <xf numFmtId="1" fontId="0" fillId="0" borderId="0" xfId="0" applyNumberFormat="1" applyAlignment="1">
      <alignment vertical="center"/>
    </xf>
    <xf numFmtId="1" fontId="0" fillId="0" borderId="6" xfId="0" applyNumberFormat="1" applyBorder="1" applyAlignment="1">
      <alignment horizontal="center" vertical="center"/>
    </xf>
    <xf numFmtId="0" fontId="0" fillId="0" borderId="32" xfId="0" applyBorder="1" applyAlignment="1">
      <alignment horizontal="center" vertical="center"/>
    </xf>
    <xf numFmtId="1" fontId="0" fillId="0" borderId="33" xfId="0" applyNumberFormat="1" applyBorder="1" applyAlignment="1">
      <alignment horizontal="center" vertical="center"/>
    </xf>
    <xf numFmtId="0" fontId="0" fillId="0" borderId="41" xfId="0" applyBorder="1" applyAlignment="1">
      <alignment horizontal="center" vertical="center"/>
    </xf>
    <xf numFmtId="1" fontId="0" fillId="0" borderId="42" xfId="0" applyNumberFormat="1" applyBorder="1" applyAlignment="1">
      <alignment horizontal="center" vertical="center"/>
    </xf>
    <xf numFmtId="0" fontId="26" fillId="0" borderId="43"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1" fontId="0" fillId="0" borderId="44" xfId="0" applyNumberFormat="1" applyBorder="1" applyAlignment="1">
      <alignment horizontal="center" vertical="center"/>
    </xf>
    <xf numFmtId="1" fontId="0" fillId="0" borderId="41" xfId="0" applyNumberFormat="1" applyBorder="1" applyAlignment="1">
      <alignment horizontal="center" vertical="center"/>
    </xf>
    <xf numFmtId="1" fontId="0" fillId="0" borderId="34" xfId="0" applyNumberFormat="1" applyBorder="1" applyAlignment="1">
      <alignment horizontal="center" vertical="center"/>
    </xf>
    <xf numFmtId="1" fontId="0" fillId="0" borderId="1" xfId="0" applyNumberFormat="1" applyBorder="1" applyAlignment="1">
      <alignment horizontal="center" vertical="center"/>
    </xf>
    <xf numFmtId="1" fontId="0" fillId="0" borderId="35" xfId="0" applyNumberFormat="1" applyBorder="1" applyAlignment="1">
      <alignment horizontal="center" vertical="center"/>
    </xf>
    <xf numFmtId="1" fontId="0" fillId="0" borderId="32" xfId="0" applyNumberFormat="1" applyBorder="1" applyAlignment="1">
      <alignment horizontal="center" vertical="center"/>
    </xf>
    <xf numFmtId="0" fontId="0" fillId="3" borderId="1" xfId="0" applyFill="1" applyBorder="1" applyAlignment="1">
      <alignment horizontal="center" vertical="center"/>
    </xf>
    <xf numFmtId="1" fontId="0" fillId="3" borderId="6" xfId="0" applyNumberFormat="1" applyFill="1" applyBorder="1" applyAlignment="1">
      <alignment horizontal="center" vertical="center"/>
    </xf>
    <xf numFmtId="1" fontId="0" fillId="3" borderId="34" xfId="0" applyNumberFormat="1" applyFill="1" applyBorder="1" applyAlignment="1">
      <alignment horizontal="center" vertical="center"/>
    </xf>
    <xf numFmtId="1" fontId="0" fillId="3" borderId="1" xfId="0" applyNumberFormat="1" applyFill="1" applyBorder="1" applyAlignment="1">
      <alignment horizontal="center" vertical="center"/>
    </xf>
    <xf numFmtId="0" fontId="0" fillId="4" borderId="1" xfId="0" applyFill="1" applyBorder="1" applyAlignment="1">
      <alignment horizontal="center" vertical="center"/>
    </xf>
    <xf numFmtId="1" fontId="0" fillId="4" borderId="6" xfId="0" applyNumberFormat="1" applyFill="1" applyBorder="1" applyAlignment="1">
      <alignment horizontal="center" vertical="center"/>
    </xf>
    <xf numFmtId="1" fontId="0" fillId="4" borderId="34" xfId="0" applyNumberFormat="1" applyFill="1" applyBorder="1" applyAlignment="1">
      <alignment horizontal="center" vertical="center"/>
    </xf>
    <xf numFmtId="1" fontId="0" fillId="4" borderId="1" xfId="0" applyNumberFormat="1" applyFill="1" applyBorder="1" applyAlignment="1">
      <alignment horizontal="center" vertical="center"/>
    </xf>
    <xf numFmtId="0" fontId="0" fillId="5" borderId="1" xfId="0" applyFill="1" applyBorder="1" applyAlignment="1">
      <alignment horizontal="center" vertical="center"/>
    </xf>
    <xf numFmtId="1" fontId="0" fillId="5" borderId="6" xfId="0" applyNumberFormat="1" applyFill="1" applyBorder="1" applyAlignment="1">
      <alignment horizontal="center" vertical="center"/>
    </xf>
    <xf numFmtId="1" fontId="0" fillId="5" borderId="34" xfId="0" applyNumberFormat="1" applyFill="1" applyBorder="1" applyAlignment="1">
      <alignment horizontal="center" vertical="center"/>
    </xf>
    <xf numFmtId="1" fontId="0" fillId="5" borderId="1" xfId="0" applyNumberFormat="1" applyFill="1" applyBorder="1" applyAlignment="1">
      <alignment horizontal="center" vertical="center"/>
    </xf>
    <xf numFmtId="0" fontId="5" fillId="2" borderId="2" xfId="0" applyFont="1" applyFill="1" applyBorder="1" applyAlignment="1" applyProtection="1">
      <alignment horizontal="left" vertical="center"/>
      <protection/>
    </xf>
    <xf numFmtId="1" fontId="0" fillId="0" borderId="31" xfId="0" applyNumberFormat="1"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1" fontId="0" fillId="0" borderId="47"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2" borderId="52" xfId="0" applyFont="1" applyFill="1" applyBorder="1" applyAlignment="1" applyProtection="1">
      <alignment horizontal="center" vertical="center" wrapText="1"/>
      <protection/>
    </xf>
    <xf numFmtId="0" fontId="0" fillId="0" borderId="6" xfId="0" applyBorder="1" applyAlignment="1">
      <alignment horizontal="center" vertical="center"/>
    </xf>
    <xf numFmtId="0" fontId="0" fillId="0" borderId="33" xfId="0"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44" xfId="0" applyFill="1" applyBorder="1" applyAlignment="1">
      <alignment horizontal="center" vertical="center"/>
    </xf>
    <xf numFmtId="0" fontId="0" fillId="0" borderId="42" xfId="0" applyBorder="1" applyAlignment="1">
      <alignment horizontal="center" vertical="center"/>
    </xf>
    <xf numFmtId="0" fontId="0" fillId="2" borderId="43"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9" fontId="0" fillId="0" borderId="20" xfId="0" applyNumberFormat="1" applyBorder="1" applyAlignment="1" applyProtection="1">
      <alignment horizontal="center" vertical="center"/>
      <protection locked="0"/>
    </xf>
    <xf numFmtId="9" fontId="0" fillId="0" borderId="21" xfId="0" applyNumberFormat="1" applyBorder="1" applyAlignment="1" applyProtection="1">
      <alignment horizontal="center" vertical="center"/>
      <protection locked="0"/>
    </xf>
    <xf numFmtId="0" fontId="0" fillId="2" borderId="53" xfId="0" applyFont="1" applyFill="1" applyBorder="1" applyAlignment="1" applyProtection="1">
      <alignment horizontal="center" vertical="center" wrapText="1"/>
      <protection/>
    </xf>
    <xf numFmtId="9" fontId="28" fillId="6" borderId="20" xfId="0" applyNumberFormat="1" applyFont="1" applyFill="1" applyBorder="1" applyAlignment="1" applyProtection="1">
      <alignment horizontal="center" vertical="center"/>
      <protection locked="0"/>
    </xf>
    <xf numFmtId="9" fontId="0" fillId="0" borderId="0" xfId="0" applyNumberFormat="1" applyBorder="1" applyAlignment="1">
      <alignment horizontal="right" vertical="center"/>
    </xf>
    <xf numFmtId="9" fontId="28" fillId="0" borderId="0" xfId="0" applyNumberFormat="1" applyFont="1" applyBorder="1" applyAlignment="1">
      <alignment horizontal="right" vertical="center"/>
    </xf>
    <xf numFmtId="0" fontId="0" fillId="0" borderId="1"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protection locked="0"/>
    </xf>
    <xf numFmtId="172" fontId="0" fillId="2" borderId="1" xfId="0" applyNumberFormat="1" applyFont="1" applyFill="1" applyBorder="1" applyAlignment="1" applyProtection="1">
      <alignment horizontal="center" vertical="center"/>
      <protection/>
    </xf>
    <xf numFmtId="172" fontId="0" fillId="2" borderId="6" xfId="0" applyNumberFormat="1" applyFont="1" applyFill="1" applyBorder="1" applyAlignment="1" applyProtection="1">
      <alignment horizontal="center" vertical="center"/>
      <protection/>
    </xf>
    <xf numFmtId="172" fontId="0" fillId="2" borderId="32" xfId="0" applyNumberFormat="1" applyFont="1" applyFill="1" applyBorder="1" applyAlignment="1" applyProtection="1">
      <alignment horizontal="center" vertical="center"/>
      <protection/>
    </xf>
    <xf numFmtId="172" fontId="0" fillId="2" borderId="33" xfId="0" applyNumberFormat="1" applyFont="1" applyFill="1" applyBorder="1" applyAlignment="1" applyProtection="1">
      <alignment horizontal="center" vertical="center"/>
      <protection/>
    </xf>
    <xf numFmtId="172" fontId="21" fillId="0" borderId="31" xfId="0" applyNumberFormat="1" applyFont="1" applyBorder="1" applyAlignment="1">
      <alignment horizontal="center"/>
    </xf>
    <xf numFmtId="172" fontId="21" fillId="0" borderId="41" xfId="0" applyNumberFormat="1" applyFont="1" applyBorder="1" applyAlignment="1">
      <alignment horizontal="center"/>
    </xf>
    <xf numFmtId="172" fontId="21" fillId="0" borderId="42" xfId="0" applyNumberFormat="1" applyFont="1" applyBorder="1" applyAlignment="1">
      <alignment horizontal="center"/>
    </xf>
    <xf numFmtId="172" fontId="21" fillId="0" borderId="5" xfId="0" applyNumberFormat="1" applyFont="1" applyBorder="1" applyAlignment="1">
      <alignment horizontal="center"/>
    </xf>
    <xf numFmtId="172" fontId="21" fillId="0" borderId="1" xfId="0" applyNumberFormat="1" applyFont="1" applyBorder="1" applyAlignment="1">
      <alignment horizontal="center"/>
    </xf>
    <xf numFmtId="172" fontId="21" fillId="0" borderId="6" xfId="0" applyNumberFormat="1" applyFont="1" applyBorder="1" applyAlignment="1">
      <alignment horizontal="center"/>
    </xf>
    <xf numFmtId="172" fontId="21" fillId="0" borderId="38" xfId="0" applyNumberFormat="1" applyFont="1" applyBorder="1" applyAlignment="1">
      <alignment horizontal="center"/>
    </xf>
    <xf numFmtId="172" fontId="21" fillId="0" borderId="32" xfId="0" applyNumberFormat="1" applyFont="1" applyBorder="1" applyAlignment="1">
      <alignment horizontal="center"/>
    </xf>
    <xf numFmtId="172" fontId="21" fillId="0" borderId="33" xfId="0" applyNumberFormat="1" applyFont="1" applyBorder="1" applyAlignment="1">
      <alignment horizontal="center"/>
    </xf>
    <xf numFmtId="1" fontId="0" fillId="2" borderId="9" xfId="0" applyNumberFormat="1" applyFont="1" applyFill="1" applyBorder="1" applyAlignment="1" applyProtection="1">
      <alignment vertical="center"/>
      <protection/>
    </xf>
    <xf numFmtId="1" fontId="0" fillId="2" borderId="54" xfId="0" applyNumberFormat="1" applyFont="1" applyFill="1" applyBorder="1" applyAlignment="1" applyProtection="1">
      <alignment vertical="center"/>
      <protection/>
    </xf>
    <xf numFmtId="1" fontId="0" fillId="0" borderId="0" xfId="0" applyNumberFormat="1" applyFont="1" applyAlignment="1" applyProtection="1">
      <alignment vertical="center"/>
      <protection locked="0"/>
    </xf>
    <xf numFmtId="0" fontId="0" fillId="2" borderId="7" xfId="0" applyFill="1" applyBorder="1" applyAlignment="1">
      <alignment vertical="center"/>
    </xf>
    <xf numFmtId="0" fontId="0" fillId="2" borderId="8" xfId="0" applyFill="1" applyBorder="1" applyAlignment="1">
      <alignment vertical="center"/>
    </xf>
    <xf numFmtId="1" fontId="0" fillId="2" borderId="0" xfId="0" applyNumberFormat="1" applyFont="1" applyFill="1" applyBorder="1" applyAlignment="1" applyProtection="1">
      <alignment horizontal="center" vertical="center"/>
      <protection locked="0"/>
    </xf>
    <xf numFmtId="1" fontId="0" fillId="2" borderId="9" xfId="0" applyNumberFormat="1" applyFill="1" applyBorder="1" applyAlignment="1">
      <alignment horizontal="center" vertical="center"/>
    </xf>
    <xf numFmtId="1" fontId="0" fillId="2" borderId="9" xfId="0" applyNumberFormat="1" applyFont="1" applyFill="1" applyBorder="1" applyAlignment="1" applyProtection="1">
      <alignment horizontal="center" vertical="center"/>
      <protection locked="0"/>
    </xf>
    <xf numFmtId="1" fontId="0" fillId="2" borderId="10" xfId="0" applyNumberFormat="1" applyFill="1" applyBorder="1" applyAlignment="1">
      <alignment horizontal="center" vertical="center"/>
    </xf>
    <xf numFmtId="1" fontId="0" fillId="2" borderId="11" xfId="0" applyNumberFormat="1" applyFill="1" applyBorder="1" applyAlignment="1">
      <alignment horizontal="center" vertical="center"/>
    </xf>
    <xf numFmtId="1" fontId="0" fillId="0" borderId="0" xfId="0" applyNumberFormat="1" applyAlignment="1" applyProtection="1">
      <alignment vertical="center"/>
      <protection locked="0"/>
    </xf>
    <xf numFmtId="172" fontId="0" fillId="0" borderId="0" xfId="0" applyNumberFormat="1" applyAlignment="1" applyProtection="1">
      <alignment vertical="center"/>
      <protection locked="0"/>
    </xf>
    <xf numFmtId="0" fontId="0" fillId="2" borderId="12" xfId="0" applyFill="1" applyBorder="1" applyAlignment="1">
      <alignment vertical="center"/>
    </xf>
    <xf numFmtId="0" fontId="0" fillId="2" borderId="13"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14"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49" xfId="0" applyFill="1" applyBorder="1" applyAlignment="1">
      <alignment vertical="center"/>
    </xf>
    <xf numFmtId="0" fontId="0" fillId="2" borderId="50" xfId="0" applyFill="1" applyBorder="1" applyAlignment="1">
      <alignment vertical="center"/>
    </xf>
    <xf numFmtId="0" fontId="0" fillId="2" borderId="51" xfId="0" applyFill="1" applyBorder="1" applyAlignment="1">
      <alignment vertical="center"/>
    </xf>
    <xf numFmtId="0" fontId="0" fillId="0" borderId="6" xfId="0"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0" fillId="2" borderId="13"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55"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8" fillId="0" borderId="0" xfId="0" applyFont="1" applyBorder="1" applyAlignment="1" applyProtection="1">
      <alignment vertical="center" wrapText="1"/>
      <protection locked="0"/>
    </xf>
    <xf numFmtId="0" fontId="0" fillId="2" borderId="13" xfId="0" applyFont="1" applyFill="1" applyBorder="1" applyAlignment="1" applyProtection="1">
      <alignment horizontal="center" vertical="center"/>
      <protection/>
    </xf>
    <xf numFmtId="0" fontId="0" fillId="2" borderId="56"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0" fontId="0" fillId="2" borderId="57"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0" fillId="2" borderId="58" xfId="0" applyFont="1" applyFill="1" applyBorder="1" applyAlignment="1" applyProtection="1">
      <alignment horizontal="center" vertical="center"/>
      <protection/>
    </xf>
    <xf numFmtId="0" fontId="0" fillId="2" borderId="37"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0" xfId="0" applyFont="1" applyFill="1" applyBorder="1" applyAlignment="1" applyProtection="1">
      <alignment horizontal="center" vertical="center"/>
      <protection/>
    </xf>
    <xf numFmtId="2" fontId="0" fillId="0" borderId="32" xfId="0" applyNumberFormat="1" applyFill="1" applyBorder="1" applyAlignment="1" applyProtection="1">
      <alignment horizontal="center" vertical="center"/>
      <protection locked="0"/>
    </xf>
    <xf numFmtId="1" fontId="0" fillId="0" borderId="59" xfId="0" applyNumberFormat="1" applyBorder="1" applyAlignment="1">
      <alignment horizontal="center" vertical="center"/>
    </xf>
    <xf numFmtId="1" fontId="0" fillId="0" borderId="60" xfId="0" applyNumberFormat="1" applyBorder="1" applyAlignment="1">
      <alignment horizontal="center" vertical="center"/>
    </xf>
    <xf numFmtId="1" fontId="0" fillId="4" borderId="59" xfId="0" applyNumberFormat="1" applyFill="1" applyBorder="1" applyAlignment="1">
      <alignment horizontal="center" vertical="center"/>
    </xf>
    <xf numFmtId="1" fontId="0" fillId="4" borderId="60" xfId="0" applyNumberFormat="1" applyFill="1" applyBorder="1" applyAlignment="1">
      <alignment horizontal="center" vertical="center"/>
    </xf>
    <xf numFmtId="0" fontId="2" fillId="0" borderId="10" xfId="0" applyFont="1" applyBorder="1" applyAlignment="1">
      <alignment horizontal="center" vertical="center" wrapText="1"/>
    </xf>
    <xf numFmtId="0" fontId="23" fillId="2" borderId="28" xfId="0" applyFont="1" applyFill="1" applyBorder="1" applyAlignment="1" applyProtection="1">
      <alignment horizontal="center" vertical="center" wrapText="1"/>
      <protection/>
    </xf>
    <xf numFmtId="0" fontId="23" fillId="2" borderId="30" xfId="0" applyFont="1" applyFill="1" applyBorder="1" applyAlignment="1" applyProtection="1">
      <alignment horizontal="center" vertical="center" wrapText="1"/>
      <protection/>
    </xf>
    <xf numFmtId="0" fontId="23" fillId="2" borderId="55" xfId="0" applyFont="1" applyFill="1" applyBorder="1" applyAlignment="1" applyProtection="1">
      <alignment horizontal="center" vertical="center" wrapText="1"/>
      <protection/>
    </xf>
    <xf numFmtId="0" fontId="23" fillId="2" borderId="60" xfId="0" applyFont="1" applyFill="1" applyBorder="1" applyAlignment="1" applyProtection="1">
      <alignment horizontal="center" vertical="center" wrapText="1"/>
      <protection/>
    </xf>
    <xf numFmtId="1" fontId="0" fillId="0" borderId="57" xfId="0" applyNumberFormat="1" applyFill="1" applyBorder="1" applyAlignment="1" applyProtection="1">
      <alignment horizontal="center" vertical="center"/>
      <protection locked="0"/>
    </xf>
    <xf numFmtId="1" fontId="0" fillId="0" borderId="19" xfId="0" applyNumberForma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3" fillId="2" borderId="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59" xfId="0" applyFont="1" applyFill="1" applyBorder="1" applyAlignment="1" applyProtection="1">
      <alignment horizontal="center" vertical="center" wrapText="1"/>
      <protection/>
    </xf>
    <xf numFmtId="0" fontId="23" fillId="2" borderId="5" xfId="0" applyFont="1" applyFill="1" applyBorder="1" applyAlignment="1" applyProtection="1">
      <alignment horizontal="center" vertical="center" wrapText="1"/>
      <protection/>
    </xf>
    <xf numFmtId="1" fontId="0" fillId="0" borderId="61" xfId="0" applyNumberFormat="1" applyFill="1" applyBorder="1" applyAlignment="1" applyProtection="1">
      <alignment horizontal="center" vertical="center" wrapText="1"/>
      <protection locked="0"/>
    </xf>
    <xf numFmtId="1" fontId="0" fillId="0" borderId="38" xfId="0" applyNumberForma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60" xfId="0" applyFont="1" applyFill="1" applyBorder="1" applyAlignment="1" applyProtection="1">
      <alignment horizontal="center" vertical="center" wrapText="1"/>
      <protection/>
    </xf>
    <xf numFmtId="0" fontId="5" fillId="2" borderId="12" xfId="0" applyFont="1" applyFill="1" applyBorder="1" applyAlignment="1" applyProtection="1">
      <alignment horizontal="left" vertical="center"/>
      <protection/>
    </xf>
    <xf numFmtId="0" fontId="5" fillId="2" borderId="48" xfId="0" applyFont="1" applyFill="1" applyBorder="1" applyAlignment="1" applyProtection="1">
      <alignment horizontal="left" vertical="center"/>
      <protection/>
    </xf>
    <xf numFmtId="0" fontId="5" fillId="2" borderId="56" xfId="0" applyFont="1" applyFill="1" applyBorder="1" applyAlignment="1" applyProtection="1">
      <alignment horizontal="left" vertical="center"/>
      <protection/>
    </xf>
    <xf numFmtId="0" fontId="5" fillId="2" borderId="31" xfId="0" applyFont="1" applyFill="1" applyBorder="1" applyAlignment="1" applyProtection="1">
      <alignment horizontal="left" vertical="center"/>
      <protection/>
    </xf>
    <xf numFmtId="0" fontId="5" fillId="2" borderId="57" xfId="0" applyFont="1" applyFill="1" applyBorder="1" applyAlignment="1" applyProtection="1">
      <alignment horizontal="left" vertical="center"/>
      <protection/>
    </xf>
    <xf numFmtId="0" fontId="5" fillId="2" borderId="38" xfId="0" applyFont="1" applyFill="1" applyBorder="1" applyAlignment="1" applyProtection="1">
      <alignment horizontal="left" vertical="center"/>
      <protection/>
    </xf>
    <xf numFmtId="0" fontId="0" fillId="0" borderId="6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2" fontId="0" fillId="0" borderId="61" xfId="0" applyNumberFormat="1" applyFill="1" applyBorder="1" applyAlignment="1" applyProtection="1">
      <alignment horizontal="center" vertical="center"/>
      <protection locked="0"/>
    </xf>
    <xf numFmtId="2" fontId="0" fillId="0" borderId="38" xfId="0" applyNumberFormat="1" applyFill="1" applyBorder="1" applyAlignment="1" applyProtection="1">
      <alignment horizontal="center" vertical="center"/>
      <protection locked="0"/>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1" fontId="0" fillId="0" borderId="64" xfId="0" applyNumberFormat="1" applyBorder="1" applyAlignment="1">
      <alignment horizontal="center" vertical="center"/>
    </xf>
    <xf numFmtId="1" fontId="0" fillId="0" borderId="30" xfId="0" applyNumberFormat="1" applyBorder="1" applyAlignment="1">
      <alignment horizontal="center" vertical="center"/>
    </xf>
    <xf numFmtId="0" fontId="0" fillId="2" borderId="12"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5" xfId="0" applyFill="1" applyBorder="1" applyAlignment="1">
      <alignment horizontal="center" vertical="center" wrapText="1"/>
    </xf>
    <xf numFmtId="1" fontId="0" fillId="3" borderId="59" xfId="0" applyNumberFormat="1" applyFill="1" applyBorder="1" applyAlignment="1">
      <alignment horizontal="center" vertical="center"/>
    </xf>
    <xf numFmtId="1" fontId="0" fillId="3" borderId="60" xfId="0" applyNumberFormat="1" applyFill="1" applyBorder="1" applyAlignment="1">
      <alignment horizontal="center" vertical="center"/>
    </xf>
    <xf numFmtId="0" fontId="0" fillId="2" borderId="12"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1" fontId="0" fillId="5" borderId="59" xfId="0" applyNumberFormat="1" applyFill="1" applyBorder="1" applyAlignment="1">
      <alignment horizontal="center" vertical="center"/>
    </xf>
    <xf numFmtId="1" fontId="0" fillId="5" borderId="60" xfId="0" applyNumberForma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3"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 fontId="0" fillId="0" borderId="61" xfId="0" applyNumberFormat="1" applyBorder="1" applyAlignment="1">
      <alignment horizontal="center" vertical="center"/>
    </xf>
    <xf numFmtId="1" fontId="0" fillId="0" borderId="19" xfId="0" applyNumberForma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dxfs count="1">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Leistungs- und Drehmomentverlauf</a:t>
            </a:r>
          </a:p>
        </c:rich>
      </c:tx>
      <c:layout>
        <c:manualLayout>
          <c:xMode val="factor"/>
          <c:yMode val="factor"/>
          <c:x val="-0.00925"/>
          <c:y val="0"/>
        </c:manualLayout>
      </c:layout>
      <c:spPr>
        <a:noFill/>
        <a:ln>
          <a:noFill/>
        </a:ln>
      </c:spPr>
    </c:title>
    <c:plotArea>
      <c:layout>
        <c:manualLayout>
          <c:xMode val="edge"/>
          <c:yMode val="edge"/>
          <c:x val="0"/>
          <c:y val="0.07975"/>
          <c:w val="1"/>
          <c:h val="0.8775"/>
        </c:manualLayout>
      </c:layout>
      <c:scatterChart>
        <c:scatterStyle val="smooth"/>
        <c:varyColors val="0"/>
        <c:ser>
          <c:idx val="0"/>
          <c:order val="0"/>
          <c:tx>
            <c:v>Drehmoment</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'Leistung u. Drehmoment'!$C$1:$M$1</c:f>
              <c:numCache>
                <c:ptCount val="11"/>
                <c:pt idx="0">
                  <c:v>0</c:v>
                </c:pt>
                <c:pt idx="1">
                  <c:v>0</c:v>
                </c:pt>
                <c:pt idx="2">
                  <c:v>0</c:v>
                </c:pt>
                <c:pt idx="3">
                  <c:v>0</c:v>
                </c:pt>
                <c:pt idx="4">
                  <c:v>0</c:v>
                </c:pt>
                <c:pt idx="5">
                  <c:v>0</c:v>
                </c:pt>
                <c:pt idx="6">
                  <c:v>0</c:v>
                </c:pt>
                <c:pt idx="7">
                  <c:v>0</c:v>
                </c:pt>
                <c:pt idx="8">
                  <c:v>0</c:v>
                </c:pt>
                <c:pt idx="9">
                  <c:v>0</c:v>
                </c:pt>
                <c:pt idx="10">
                  <c:v>0</c:v>
                </c:pt>
              </c:numCache>
            </c:numRef>
          </c:xVal>
          <c:yVal>
            <c:numRef>
              <c:f>'Leistung u. Drehmoment'!$C$4:$M$4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9835423"/>
        <c:axId val="45865624"/>
      </c:scatterChart>
      <c:scatterChart>
        <c:scatterStyle val="lineMarker"/>
        <c:varyColors val="0"/>
        <c:ser>
          <c:idx val="1"/>
          <c:order val="1"/>
          <c:tx>
            <c:v>Leistung</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'Leistung u. Drehmoment'!$C$1:$M$1</c:f>
              <c:numCache>
                <c:ptCount val="11"/>
                <c:pt idx="0">
                  <c:v>0</c:v>
                </c:pt>
                <c:pt idx="1">
                  <c:v>0</c:v>
                </c:pt>
                <c:pt idx="2">
                  <c:v>0</c:v>
                </c:pt>
                <c:pt idx="3">
                  <c:v>0</c:v>
                </c:pt>
                <c:pt idx="4">
                  <c:v>0</c:v>
                </c:pt>
                <c:pt idx="5">
                  <c:v>0</c:v>
                </c:pt>
                <c:pt idx="6">
                  <c:v>0</c:v>
                </c:pt>
                <c:pt idx="7">
                  <c:v>0</c:v>
                </c:pt>
                <c:pt idx="8">
                  <c:v>0</c:v>
                </c:pt>
                <c:pt idx="9">
                  <c:v>0</c:v>
                </c:pt>
                <c:pt idx="10">
                  <c:v>0</c:v>
                </c:pt>
              </c:numCache>
            </c:numRef>
          </c:xVal>
          <c:yVal>
            <c:numRef>
              <c:f>'Leistung u. Drehmoment'!$C$5:$M$5</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10137433"/>
        <c:axId val="24128034"/>
      </c:scatterChart>
      <c:valAx>
        <c:axId val="49835423"/>
        <c:scaling>
          <c:orientation val="minMax"/>
          <c:max val="9000"/>
          <c:min val="0"/>
        </c:scaling>
        <c:axPos val="b"/>
        <c:title>
          <c:tx>
            <c:rich>
              <a:bodyPr vert="horz" rot="0" anchor="ctr"/>
              <a:lstStyle/>
              <a:p>
                <a:pPr algn="ctr">
                  <a:defRPr/>
                </a:pPr>
                <a:r>
                  <a:rPr lang="en-US" cap="none" sz="1100" b="1" i="0" u="none" baseline="0">
                    <a:latin typeface="Arial"/>
                    <a:ea typeface="Arial"/>
                    <a:cs typeface="Arial"/>
                  </a:rPr>
                  <a:t>n/min</a:t>
                </a:r>
                <a:r>
                  <a:rPr lang="en-US" cap="none" sz="1100" b="1" i="0" u="none" baseline="30000">
                    <a:latin typeface="Arial"/>
                    <a:ea typeface="Arial"/>
                    <a:cs typeface="Arial"/>
                  </a:rPr>
                  <a:t>-1</a:t>
                </a:r>
              </a:p>
            </c:rich>
          </c:tx>
          <c:layout>
            <c:manualLayout>
              <c:xMode val="factor"/>
              <c:yMode val="factor"/>
              <c:x val="0.009"/>
              <c:y val="0.12775"/>
            </c:manualLayout>
          </c:layout>
          <c:overlay val="0"/>
          <c:spPr>
            <a:noFill/>
            <a:ln>
              <a:noFill/>
            </a:ln>
          </c:spPr>
        </c:title>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45865624"/>
        <c:crosses val="max"/>
        <c:crossBetween val="midCat"/>
        <c:dispUnits/>
        <c:majorUnit val="1000"/>
        <c:minorUnit val="200"/>
      </c:valAx>
      <c:valAx>
        <c:axId val="45865624"/>
        <c:scaling>
          <c:orientation val="minMax"/>
          <c:max val="600"/>
          <c:min val="0"/>
        </c:scaling>
        <c:axPos val="l"/>
        <c:title>
          <c:tx>
            <c:rich>
              <a:bodyPr vert="horz" rot="0" anchor="ctr"/>
              <a:lstStyle/>
              <a:p>
                <a:pPr algn="ctr">
                  <a:defRPr/>
                </a:pPr>
                <a:r>
                  <a:rPr lang="en-US" cap="none" sz="1100" b="1" i="0" u="none" baseline="0">
                    <a:solidFill>
                      <a:srgbClr val="0000FF"/>
                    </a:solidFill>
                    <a:latin typeface="Arial"/>
                    <a:ea typeface="Arial"/>
                    <a:cs typeface="Arial"/>
                  </a:rPr>
                  <a:t>M</a:t>
                </a:r>
                <a:r>
                  <a:rPr lang="en-US" cap="none" sz="1100" b="0" i="0" u="none" baseline="0">
                    <a:solidFill>
                      <a:srgbClr val="0000FF"/>
                    </a:solidFill>
                    <a:latin typeface="Arial"/>
                    <a:ea typeface="Arial"/>
                    <a:cs typeface="Arial"/>
                  </a:rPr>
                  <a:t>/Nm</a:t>
                </a:r>
              </a:p>
            </c:rich>
          </c:tx>
          <c:layout>
            <c:manualLayout>
              <c:xMode val="factor"/>
              <c:yMode val="factor"/>
              <c:x val="0.021"/>
              <c:y val="0.14325"/>
            </c:manualLayout>
          </c:layout>
          <c:overlay val="0"/>
          <c:spPr>
            <a:noFill/>
            <a:ln>
              <a:noFill/>
            </a:ln>
          </c:spPr>
        </c:title>
        <c:majorGridlines/>
        <c:minorGridlines/>
        <c:delete val="0"/>
        <c:numFmt formatCode="0" sourceLinked="0"/>
        <c:majorTickMark val="out"/>
        <c:minorTickMark val="none"/>
        <c:tickLblPos val="nextTo"/>
        <c:spPr>
          <a:ln w="25400">
            <a:solidFill/>
          </a:ln>
        </c:spPr>
        <c:txPr>
          <a:bodyPr/>
          <a:lstStyle/>
          <a:p>
            <a:pPr>
              <a:defRPr lang="en-US" cap="none" sz="1100" b="0" i="0" u="none" baseline="0">
                <a:solidFill>
                  <a:srgbClr val="0000FF"/>
                </a:solidFill>
                <a:latin typeface="Arial"/>
                <a:ea typeface="Arial"/>
                <a:cs typeface="Arial"/>
              </a:defRPr>
            </a:pPr>
          </a:p>
        </c:txPr>
        <c:crossAx val="49835423"/>
        <c:crosses val="max"/>
        <c:crossBetween val="midCat"/>
        <c:dispUnits/>
        <c:majorUnit val="100"/>
        <c:minorUnit val="50"/>
      </c:valAx>
      <c:valAx>
        <c:axId val="10137433"/>
        <c:scaling>
          <c:orientation val="minMax"/>
        </c:scaling>
        <c:axPos val="b"/>
        <c:delete val="1"/>
        <c:majorTickMark val="in"/>
        <c:minorTickMark val="none"/>
        <c:tickLblPos val="nextTo"/>
        <c:crossAx val="24128034"/>
        <c:crosses val="autoZero"/>
        <c:crossBetween val="midCat"/>
        <c:dispUnits/>
      </c:valAx>
      <c:valAx>
        <c:axId val="24128034"/>
        <c:scaling>
          <c:orientation val="minMax"/>
          <c:max val="300"/>
        </c:scaling>
        <c:axPos val="l"/>
        <c:title>
          <c:tx>
            <c:rich>
              <a:bodyPr vert="horz" rot="0" anchor="ctr"/>
              <a:lstStyle/>
              <a:p>
                <a:pPr algn="ctr">
                  <a:defRPr/>
                </a:pPr>
                <a:r>
                  <a:rPr lang="en-US" cap="none" sz="1100" b="1" i="0" u="none" baseline="0">
                    <a:solidFill>
                      <a:srgbClr val="FF0000"/>
                    </a:solidFill>
                    <a:latin typeface="Arial"/>
                    <a:ea typeface="Arial"/>
                    <a:cs typeface="Arial"/>
                  </a:rPr>
                  <a:t>P</a:t>
                </a:r>
                <a:r>
                  <a:rPr lang="en-US" cap="none" sz="1100" b="0" i="0" u="none" baseline="0">
                    <a:solidFill>
                      <a:srgbClr val="FF0000"/>
                    </a:solidFill>
                    <a:latin typeface="Arial"/>
                    <a:ea typeface="Arial"/>
                    <a:cs typeface="Arial"/>
                  </a:rPr>
                  <a:t>/kW</a:t>
                </a:r>
              </a:p>
            </c:rich>
          </c:tx>
          <c:layout>
            <c:manualLayout>
              <c:xMode val="factor"/>
              <c:yMode val="factor"/>
              <c:x val="0.019"/>
              <c:y val="0.14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100" b="0" i="0" u="none" baseline="0">
                <a:solidFill>
                  <a:srgbClr val="FF0000"/>
                </a:solidFill>
                <a:latin typeface="Arial"/>
                <a:ea typeface="Arial"/>
                <a:cs typeface="Arial"/>
              </a:defRPr>
            </a:pPr>
          </a:p>
        </c:txPr>
        <c:crossAx val="10137433"/>
        <c:crosses val="autoZero"/>
        <c:crossBetween val="midCat"/>
        <c:dispUnits/>
        <c:majorUnit val="50"/>
        <c:min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Getriebeschaubild</a:t>
            </a:r>
          </a:p>
        </c:rich>
      </c:tx>
      <c:layout>
        <c:manualLayout>
          <c:xMode val="factor"/>
          <c:yMode val="factor"/>
          <c:x val="-0.00725"/>
          <c:y val="-0.021"/>
        </c:manualLayout>
      </c:layout>
      <c:spPr>
        <a:noFill/>
        <a:ln>
          <a:noFill/>
        </a:ln>
      </c:spPr>
    </c:title>
    <c:plotArea>
      <c:layout>
        <c:manualLayout>
          <c:xMode val="edge"/>
          <c:yMode val="edge"/>
          <c:x val="0.01775"/>
          <c:y val="0.07675"/>
          <c:w val="0.9455"/>
          <c:h val="0.8895"/>
        </c:manualLayout>
      </c:layout>
      <c:scatterChart>
        <c:scatterStyle val="smooth"/>
        <c:varyColors val="0"/>
        <c:ser>
          <c:idx val="0"/>
          <c:order val="0"/>
          <c:tx>
            <c:v>1.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Zugkraftdiagramm'!$L$99:$M$99</c:f>
              <c:numCache/>
            </c:numRef>
          </c:xVal>
          <c:yVal>
            <c:numRef>
              <c:f>'Getriebe- u. Zugkraftdiagramm'!$J$99:$K$99</c:f>
              <c:numCache/>
            </c:numRef>
          </c:yVal>
          <c:smooth val="1"/>
        </c:ser>
        <c:ser>
          <c:idx val="1"/>
          <c:order val="1"/>
          <c:tx>
            <c:v>2.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Zugkraftdiagramm'!$L$100:$M$100</c:f>
              <c:numCache/>
            </c:numRef>
          </c:xVal>
          <c:yVal>
            <c:numRef>
              <c:f>'Getriebe- u. Zugkraftdiagramm'!$J$100:$K$100</c:f>
              <c:numCache/>
            </c:numRef>
          </c:yVal>
          <c:smooth val="1"/>
        </c:ser>
        <c:ser>
          <c:idx val="2"/>
          <c:order val="2"/>
          <c:tx>
            <c:v>3.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Zugkraftdiagramm'!$L$101:$M$101</c:f>
              <c:numCache/>
            </c:numRef>
          </c:xVal>
          <c:yVal>
            <c:numRef>
              <c:f>'Getriebe- u. Zugkraftdiagramm'!$J$101:$K$101</c:f>
              <c:numCache/>
            </c:numRef>
          </c:yVal>
          <c:smooth val="1"/>
        </c:ser>
        <c:ser>
          <c:idx val="3"/>
          <c:order val="3"/>
          <c:tx>
            <c:v>4.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Zugkraftdiagramm'!$L$102:$M$102</c:f>
              <c:numCache/>
            </c:numRef>
          </c:xVal>
          <c:yVal>
            <c:numRef>
              <c:f>'Getriebe- u. Zugkraftdiagramm'!$J$102:$K$102</c:f>
              <c:numCache/>
            </c:numRef>
          </c:yVal>
          <c:smooth val="1"/>
        </c:ser>
        <c:ser>
          <c:idx val="5"/>
          <c:order val="5"/>
          <c:tx>
            <c:v>6.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Zugkraftdiagramm'!$L$104:$M$104</c:f>
              <c:numCache/>
            </c:numRef>
          </c:xVal>
          <c:yVal>
            <c:numRef>
              <c:f>'Getriebe- u. Zugkraftdiagramm'!$J$104:$K$104</c:f>
              <c:numCache/>
            </c:numRef>
          </c:yVal>
          <c:smooth val="1"/>
        </c:ser>
        <c:ser>
          <c:idx val="12"/>
          <c:order val="6"/>
          <c:tx>
            <c:v>7.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Zugkraftdiagramm'!$L$105:$M$105</c:f>
              <c:numCache/>
            </c:numRef>
          </c:xVal>
          <c:yVal>
            <c:numRef>
              <c:f>'Getriebe- u. Zugkraftdiagramm'!$J$105:$K$105</c:f>
              <c:numCache/>
            </c:numRef>
          </c:yVal>
          <c:smooth val="1"/>
        </c:ser>
        <c:ser>
          <c:idx val="13"/>
          <c:order val="7"/>
          <c:tx>
            <c:v>Opt Schalt 1.</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Zugkraftdiagramm'!$H$100,'Getriebe- u. Zugkraftdiagramm'!$I$99)</c:f>
              <c:numCache/>
            </c:numRef>
          </c:xVal>
          <c:yVal>
            <c:numRef>
              <c:f>('Getriebe- u. Zugkraftdiagramm'!$G$99,'Getriebe- u. Zugkraftdiagramm'!$F$100)</c:f>
              <c:numCache/>
            </c:numRef>
          </c:yVal>
          <c:smooth val="1"/>
        </c:ser>
        <c:ser>
          <c:idx val="14"/>
          <c:order val="8"/>
          <c:tx>
            <c:v>Opt Schalt 2.</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Zugkraftdiagramm'!$H$101,'Getriebe- u. Zugkraftdiagramm'!$I$100)</c:f>
              <c:numCache/>
            </c:numRef>
          </c:xVal>
          <c:yVal>
            <c:numRef>
              <c:f>('Getriebe- u. Zugkraftdiagramm'!$F$101,'Getriebe- u. Zugkraftdiagramm'!$G$100)</c:f>
              <c:numCache/>
            </c:numRef>
          </c:yVal>
          <c:smooth val="1"/>
        </c:ser>
        <c:ser>
          <c:idx val="15"/>
          <c:order val="9"/>
          <c:tx>
            <c:v>Opt Schalt 3.</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Zugkraftdiagramm'!$H$102,'Getriebe- u. Zugkraftdiagramm'!$I$101)</c:f>
              <c:numCache/>
            </c:numRef>
          </c:xVal>
          <c:yVal>
            <c:numRef>
              <c:f>('Getriebe- u. Zugkraftdiagramm'!$F$102,'Getriebe- u. Zugkraftdiagramm'!$G$101)</c:f>
              <c:numCache/>
            </c:numRef>
          </c:yVal>
          <c:smooth val="1"/>
        </c:ser>
        <c:ser>
          <c:idx val="16"/>
          <c:order val="10"/>
          <c:tx>
            <c:v>Opt Schalt 4.</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Zugkraftdiagramm'!$H$103,'Getriebe- u. Zugkraftdiagramm'!$I$102)</c:f>
              <c:numCache/>
            </c:numRef>
          </c:xVal>
          <c:yVal>
            <c:numRef>
              <c:f>('Getriebe- u. Zugkraftdiagramm'!$F$103,'Getriebe- u. Zugkraftdiagramm'!$G$102)</c:f>
              <c:numCache/>
            </c:numRef>
          </c:yVal>
          <c:smooth val="1"/>
        </c:ser>
        <c:ser>
          <c:idx val="17"/>
          <c:order val="11"/>
          <c:tx>
            <c:v>Opt Schalt 5.</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Zugkraftdiagramm'!$H$104,'Getriebe- u. Zugkraftdiagramm'!$I$103)</c:f>
              <c:numCache/>
            </c:numRef>
          </c:xVal>
          <c:yVal>
            <c:numRef>
              <c:f>('Getriebe- u. Zugkraftdiagramm'!$F$104,'Getriebe- u. Zugkraftdiagramm'!$G$103)</c:f>
              <c:numCache/>
            </c:numRef>
          </c:yVal>
          <c:smooth val="1"/>
        </c:ser>
        <c:ser>
          <c:idx val="18"/>
          <c:order val="12"/>
          <c:tx>
            <c:v>Opt Schalt 6.</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Zugkraftdiagramm'!$H$105,'Getriebe- u. Zugkraftdiagramm'!$I$104)</c:f>
              <c:numCache/>
            </c:numRef>
          </c:xVal>
          <c:yVal>
            <c:numRef>
              <c:f>('Getriebe- u. Zugkraftdiagramm'!$F$105,'Getriebe- u. Zugkraftdiagramm'!$G$104)</c:f>
              <c:numCache/>
            </c:numRef>
          </c:yVal>
          <c:smooth val="1"/>
        </c:ser>
        <c:ser>
          <c:idx val="19"/>
          <c:order val="13"/>
          <c:tx>
            <c:v>Opt Schalt 7.</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Zugkraftdiagramm'!$I$105,'Getriebe- u. Zugkraftdiagramm'!$I$105)</c:f>
              <c:numCache/>
            </c:numRef>
          </c:xVal>
          <c:yVal>
            <c:numRef>
              <c:f>('Getriebe- u. Zugkraftdiagramm'!$G$105,'Getriebe- u. Zugkraftdiagramm'!$F$99)</c:f>
              <c:numCache/>
            </c:numRef>
          </c:yVal>
          <c:smooth val="1"/>
        </c:ser>
        <c:ser>
          <c:idx val="6"/>
          <c:order val="14"/>
          <c:tx>
            <c:v>Schaltpunkt 1-2</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Zugkraftdiagramm'!$E$99,'Getriebe- u. Zugkraftdiagramm'!$D$100)</c:f>
              <c:numCache/>
            </c:numRef>
          </c:xVal>
          <c:yVal>
            <c:numRef>
              <c:f>('Getriebe- u. Zugkraftdiagramm'!$B$100,'Getriebe- u. Zugkraftdiagramm'!$C$99)</c:f>
              <c:numCache/>
            </c:numRef>
          </c:yVal>
          <c:smooth val="1"/>
        </c:ser>
        <c:ser>
          <c:idx val="7"/>
          <c:order val="15"/>
          <c:tx>
            <c:v>Schaltpunkt 2-3</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Zugkraftdiagramm'!$E$100,'Getriebe- u. Zugkraftdiagramm'!$E$100)</c:f>
              <c:numCache/>
            </c:numRef>
          </c:xVal>
          <c:yVal>
            <c:numRef>
              <c:f>('Getriebe- u. Zugkraftdiagramm'!$C$100,'Getriebe- u. Zugkraftdiagramm'!$B$101)</c:f>
              <c:numCache/>
            </c:numRef>
          </c:yVal>
          <c:smooth val="1"/>
        </c:ser>
        <c:ser>
          <c:idx val="8"/>
          <c:order val="16"/>
          <c:tx>
            <c:v>Schaltpunkt 3-4</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Zugkraftdiagramm'!$E$101,'Getriebe- u. Zugkraftdiagramm'!$D$102)</c:f>
              <c:numCache/>
            </c:numRef>
          </c:xVal>
          <c:yVal>
            <c:numRef>
              <c:f>('Getriebe- u. Zugkraftdiagramm'!$C$101,'Getriebe- u. Zugkraftdiagramm'!$B$102)</c:f>
              <c:numCache/>
            </c:numRef>
          </c:yVal>
          <c:smooth val="1"/>
        </c:ser>
        <c:ser>
          <c:idx val="9"/>
          <c:order val="17"/>
          <c:tx>
            <c:v>Schaltpunkt 4-5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Zugkraftdiagramm'!$E$102,'Getriebe- u. Zugkraftdiagramm'!$D$103)</c:f>
              <c:numCache/>
            </c:numRef>
          </c:xVal>
          <c:yVal>
            <c:numRef>
              <c:f>('Getriebe- u. Zugkraftdiagramm'!$C$102,'Getriebe- u. Zugkraftdiagramm'!$B$103)</c:f>
              <c:numCache/>
            </c:numRef>
          </c:yVal>
          <c:smooth val="1"/>
        </c:ser>
        <c:ser>
          <c:idx val="10"/>
          <c:order val="18"/>
          <c:tx>
            <c:v>Schaltpunkt 5-6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Zugkraftdiagramm'!$E$103,'Getriebe- u. Zugkraftdiagramm'!$D$104)</c:f>
              <c:numCache/>
            </c:numRef>
          </c:xVal>
          <c:yVal>
            <c:numRef>
              <c:f>('Getriebe- u. Zugkraftdiagramm'!$C$103,'Getriebe- u. Zugkraftdiagramm'!$B$104)</c:f>
              <c:numCache/>
            </c:numRef>
          </c:yVal>
          <c:smooth val="1"/>
        </c:ser>
        <c:ser>
          <c:idx val="11"/>
          <c:order val="19"/>
          <c:tx>
            <c:v>Schaltpunkt 6-7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Zugkraftdiagramm'!$E$104,'Getriebe- u. Zugkraftdiagramm'!$D$105)</c:f>
              <c:numCache/>
            </c:numRef>
          </c:xVal>
          <c:yVal>
            <c:numRef>
              <c:f>('Getriebe- u. Zugkraftdiagramm'!$C$104,'Getriebe- u. Zugkraftdiagramm'!$B$105)</c:f>
              <c:numCache/>
            </c:numRef>
          </c:yVal>
          <c:smooth val="1"/>
        </c:ser>
        <c:axId val="15825715"/>
        <c:axId val="8213708"/>
      </c:scatterChart>
      <c:scatterChart>
        <c:scatterStyle val="lineMarker"/>
        <c:varyColors val="0"/>
        <c:ser>
          <c:idx val="4"/>
          <c:order val="4"/>
          <c:tx>
            <c:v>5.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Zugkraftdiagramm'!$L$103:$M$103</c:f>
              <c:numCache/>
            </c:numRef>
          </c:xVal>
          <c:yVal>
            <c:numRef>
              <c:f>'Getriebe- u. Zugkraftdiagramm'!$J$103:$K$103</c:f>
              <c:numCache/>
            </c:numRef>
          </c:yVal>
          <c:smooth val="1"/>
        </c:ser>
        <c:axId val="6814509"/>
        <c:axId val="61330582"/>
      </c:scatterChart>
      <c:valAx>
        <c:axId val="15825715"/>
        <c:scaling>
          <c:orientation val="minMax"/>
          <c:max val="340"/>
          <c:min val="0"/>
        </c:scaling>
        <c:axPos val="b"/>
        <c:title>
          <c:tx>
            <c:rich>
              <a:bodyPr vert="horz" rot="0" anchor="ctr"/>
              <a:lstStyle/>
              <a:p>
                <a:pPr algn="ctr">
                  <a:defRPr/>
                </a:pPr>
                <a:r>
                  <a:rPr lang="en-US" cap="none" sz="1100" b="1" i="0" u="none" baseline="0">
                    <a:latin typeface="Arial"/>
                    <a:ea typeface="Arial"/>
                    <a:cs typeface="Arial"/>
                  </a:rPr>
                  <a:t>v/</a:t>
                </a:r>
                <a:r>
                  <a:rPr lang="en-US" cap="none" sz="1000" b="0" i="0" u="none" baseline="0">
                    <a:latin typeface="Arial"/>
                    <a:ea typeface="Arial"/>
                    <a:cs typeface="Arial"/>
                  </a:rPr>
                  <a:t>km/h</a:t>
                </a:r>
              </a:p>
            </c:rich>
          </c:tx>
          <c:layout>
            <c:manualLayout>
              <c:xMode val="factor"/>
              <c:yMode val="factor"/>
              <c:x val="0.00925"/>
              <c:y val="0.1105"/>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8213708"/>
        <c:crosses val="autoZero"/>
        <c:crossBetween val="midCat"/>
        <c:dispUnits/>
        <c:majorUnit val="20"/>
        <c:minorUnit val="5"/>
      </c:valAx>
      <c:valAx>
        <c:axId val="8213708"/>
        <c:scaling>
          <c:orientation val="minMax"/>
        </c:scaling>
        <c:axPos val="l"/>
        <c:title>
          <c:tx>
            <c:rich>
              <a:bodyPr vert="horz" rot="0" anchor="ctr"/>
              <a:lstStyle/>
              <a:p>
                <a:pPr algn="ctr">
                  <a:defRPr/>
                </a:pPr>
                <a:r>
                  <a:rPr lang="en-US" cap="none" sz="1100" b="1" i="0" u="none" baseline="0">
                    <a:latin typeface="Arial"/>
                    <a:ea typeface="Arial"/>
                    <a:cs typeface="Arial"/>
                  </a:rPr>
                  <a:t>n/</a:t>
                </a:r>
                <a:r>
                  <a:rPr lang="en-US" cap="none" sz="1000" b="0" i="0" u="none" baseline="0">
                    <a:latin typeface="Arial"/>
                    <a:ea typeface="Arial"/>
                    <a:cs typeface="Arial"/>
                  </a:rPr>
                  <a:t>min</a:t>
                </a:r>
                <a:r>
                  <a:rPr lang="en-US" cap="none" sz="1000" b="0" i="0" u="none" baseline="30000">
                    <a:latin typeface="Arial"/>
                    <a:ea typeface="Arial"/>
                    <a:cs typeface="Arial"/>
                  </a:rPr>
                  <a:t>-1</a:t>
                </a:r>
              </a:p>
            </c:rich>
          </c:tx>
          <c:layout>
            <c:manualLayout>
              <c:xMode val="factor"/>
              <c:yMode val="factor"/>
              <c:x val="0.016"/>
              <c:y val="0.1455"/>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15825715"/>
        <c:crosses val="autoZero"/>
        <c:crossBetween val="midCat"/>
        <c:dispUnits/>
      </c:valAx>
      <c:valAx>
        <c:axId val="6814509"/>
        <c:scaling>
          <c:orientation val="minMax"/>
        </c:scaling>
        <c:axPos val="b"/>
        <c:delete val="1"/>
        <c:majorTickMark val="in"/>
        <c:minorTickMark val="none"/>
        <c:tickLblPos val="nextTo"/>
        <c:crossAx val="61330582"/>
        <c:crosses val="max"/>
        <c:crossBetween val="midCat"/>
        <c:dispUnits/>
      </c:valAx>
      <c:valAx>
        <c:axId val="61330582"/>
        <c:scaling>
          <c:orientation val="minMax"/>
        </c:scaling>
        <c:axPos val="l"/>
        <c:delete val="1"/>
        <c:majorTickMark val="in"/>
        <c:minorTickMark val="none"/>
        <c:tickLblPos val="nextTo"/>
        <c:crossAx val="6814509"/>
        <c:crosses val="max"/>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Zugkraftdiagramm</a:t>
            </a:r>
          </a:p>
        </c:rich>
      </c:tx>
      <c:layout>
        <c:manualLayout>
          <c:xMode val="factor"/>
          <c:yMode val="factor"/>
          <c:x val="-0.0015"/>
          <c:y val="-0.0195"/>
        </c:manualLayout>
      </c:layout>
      <c:spPr>
        <a:noFill/>
        <a:ln>
          <a:noFill/>
        </a:ln>
      </c:spPr>
    </c:title>
    <c:plotArea>
      <c:layout>
        <c:manualLayout>
          <c:xMode val="edge"/>
          <c:yMode val="edge"/>
          <c:x val="0.02025"/>
          <c:y val="0.05125"/>
          <c:w val="0.97975"/>
          <c:h val="0.9175"/>
        </c:manualLayout>
      </c:layout>
      <c:scatterChart>
        <c:scatterStyle val="smooth"/>
        <c:varyColors val="0"/>
        <c:ser>
          <c:idx val="0"/>
          <c:order val="0"/>
          <c:tx>
            <c:v>1.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Zugkraftdiagramm'!$C$83:$M$83</c:f>
              <c:numCache/>
            </c:numRef>
          </c:xVal>
          <c:yVal>
            <c:numRef>
              <c:f>'Getriebe- u. Zugkraftdiagramm'!$C$84:$M$84</c:f>
              <c:numCache/>
            </c:numRef>
          </c:yVal>
          <c:smooth val="1"/>
        </c:ser>
        <c:ser>
          <c:idx val="1"/>
          <c:order val="1"/>
          <c:tx>
            <c:v>2.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Zugkraftdiagramm'!$C$85:$M$85</c:f>
              <c:numCache/>
            </c:numRef>
          </c:xVal>
          <c:yVal>
            <c:numRef>
              <c:f>'Getriebe- u. Zugkraftdiagramm'!$C$86:$M$86</c:f>
              <c:numCache/>
            </c:numRef>
          </c:yVal>
          <c:smooth val="1"/>
        </c:ser>
        <c:ser>
          <c:idx val="2"/>
          <c:order val="2"/>
          <c:tx>
            <c:v>3.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Zugkraftdiagramm'!$C$87:$M$87</c:f>
              <c:numCache/>
            </c:numRef>
          </c:xVal>
          <c:yVal>
            <c:numRef>
              <c:f>'Getriebe- u. Zugkraftdiagramm'!$C$88:$M$88</c:f>
              <c:numCache/>
            </c:numRef>
          </c:yVal>
          <c:smooth val="1"/>
        </c:ser>
        <c:ser>
          <c:idx val="3"/>
          <c:order val="3"/>
          <c:tx>
            <c:v>4.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Zugkraftdiagramm'!$C$89:$M$89</c:f>
              <c:numCache/>
            </c:numRef>
          </c:xVal>
          <c:yVal>
            <c:numRef>
              <c:f>'Getriebe- u. Zugkraftdiagramm'!$C$90:$M$90</c:f>
              <c:numCache/>
            </c:numRef>
          </c:yVal>
          <c:smooth val="1"/>
        </c:ser>
        <c:ser>
          <c:idx val="4"/>
          <c:order val="4"/>
          <c:tx>
            <c:v>5.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Zugkraftdiagramm'!$C$91:$M$91</c:f>
              <c:numCache/>
            </c:numRef>
          </c:xVal>
          <c:yVal>
            <c:numRef>
              <c:f>'Getriebe- u. Zugkraftdiagramm'!$C$92:$M$92</c:f>
              <c:numCache/>
            </c:numRef>
          </c:yVal>
          <c:smooth val="1"/>
        </c:ser>
        <c:ser>
          <c:idx val="5"/>
          <c:order val="5"/>
          <c:tx>
            <c:v>6.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Zugkraftdiagramm'!$C$93:$M$93</c:f>
              <c:numCache/>
            </c:numRef>
          </c:xVal>
          <c:yVal>
            <c:numRef>
              <c:f>'Getriebe- u. Zugkraftdiagramm'!$C$94:$M$94</c:f>
              <c:numCache/>
            </c:numRef>
          </c:yVal>
          <c:smooth val="1"/>
        </c:ser>
        <c:ser>
          <c:idx val="17"/>
          <c:order val="6"/>
          <c:tx>
            <c:v>7.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Zugkraftdiagramm'!$C$95:$M$95</c:f>
              <c:numCache/>
            </c:numRef>
          </c:xVal>
          <c:yVal>
            <c:numRef>
              <c:f>'Getriebe- u. Zugkraftdiagramm'!$C$96:$M$96</c:f>
              <c:numCache/>
            </c:numRef>
          </c:yVal>
          <c:smooth val="1"/>
        </c:ser>
        <c:ser>
          <c:idx val="16"/>
          <c:order val="7"/>
          <c:tx>
            <c:strRef>
              <c:f>'Getriebe- u. Zugkraftdiagramm'!$C$128</c:f>
              <c:strCache>
                <c:ptCount val="1"/>
                <c:pt idx="0">
                  <c:v>9999%</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Zugkraftdiagramm'!$D$118:$L$118</c:f>
              <c:numCache/>
            </c:numRef>
          </c:xVal>
          <c:yVal>
            <c:numRef>
              <c:f>'Getriebe- u. Zugkraftdiagramm'!$D$128:$L$128</c:f>
              <c:numCache/>
            </c:numRef>
          </c:yVal>
          <c:smooth val="1"/>
        </c:ser>
        <c:ser>
          <c:idx val="15"/>
          <c:order val="8"/>
          <c:tx>
            <c:strRef>
              <c:f>'Getriebe- u. Zugkraftdiagramm'!$C$127</c:f>
              <c:strCache>
                <c:ptCount val="1"/>
                <c:pt idx="0">
                  <c:v>80%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'Getriebe- u. Zugkraftdiagramm'!$D$117:$L$117</c:f>
              <c:numCache/>
            </c:numRef>
          </c:xVal>
          <c:yVal>
            <c:numRef>
              <c:f>'Getriebe- u. Zugkraftdiagramm'!$D$127:$L$127</c:f>
              <c:numCache/>
            </c:numRef>
          </c:yVal>
          <c:smooth val="1"/>
        </c:ser>
        <c:ser>
          <c:idx val="14"/>
          <c:order val="9"/>
          <c:tx>
            <c:strRef>
              <c:f>'Getriebe- u. Zugkraftdiagramm'!$C$126</c:f>
              <c:strCache>
                <c:ptCount val="1"/>
                <c:pt idx="0">
                  <c:v>50%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Zugkraftdiagramm'!$D$116:$L$116</c:f>
              <c:numCache/>
            </c:numRef>
          </c:xVal>
          <c:yVal>
            <c:numRef>
              <c:f>'Getriebe- u. Zugkraftdiagramm'!$D$126:$L$126</c:f>
              <c:numCache/>
            </c:numRef>
          </c:yVal>
          <c:smooth val="1"/>
        </c:ser>
        <c:ser>
          <c:idx val="13"/>
          <c:order val="10"/>
          <c:tx>
            <c:strRef>
              <c:f>'Getriebe- u. Zugkraftdiagramm'!$C$125</c:f>
              <c:strCache>
                <c:ptCount val="1"/>
                <c:pt idx="0">
                  <c:v>30%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72"/>
            <c:spPr>
              <a:noFill/>
              <a:ln>
                <a:noFill/>
              </a:ln>
            </c:spPr>
          </c:marker>
          <c:dLbls>
            <c:numFmt formatCode="General" sourceLinked="1"/>
            <c:showLegendKey val="0"/>
            <c:showVal val="0"/>
            <c:showBubbleSize val="0"/>
            <c:showCatName val="0"/>
            <c:showSerName val="0"/>
            <c:showPercent val="0"/>
          </c:dLbls>
          <c:xVal>
            <c:numRef>
              <c:f>'Getriebe- u. Zugkraftdiagramm'!$D$115:$L$115</c:f>
              <c:numCache/>
            </c:numRef>
          </c:xVal>
          <c:yVal>
            <c:numRef>
              <c:f>'Getriebe- u. Zugkraftdiagramm'!$D$125:$L$125</c:f>
              <c:numCache/>
            </c:numRef>
          </c:yVal>
          <c:smooth val="1"/>
        </c:ser>
        <c:ser>
          <c:idx val="12"/>
          <c:order val="11"/>
          <c:tx>
            <c:strRef>
              <c:f>'Getriebe- u. Zugkraftdiagramm'!$C$124</c:f>
              <c:strCache>
                <c:ptCount val="1"/>
                <c:pt idx="0">
                  <c:v>20%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Zugkraftdiagramm'!$D$114:$L$114</c:f>
              <c:numCache/>
            </c:numRef>
          </c:xVal>
          <c:yVal>
            <c:numRef>
              <c:f>'Getriebe- u. Zugkraftdiagramm'!$D$124:$L$124</c:f>
              <c:numCache/>
            </c:numRef>
          </c:yVal>
          <c:smooth val="1"/>
        </c:ser>
        <c:ser>
          <c:idx val="11"/>
          <c:order val="12"/>
          <c:tx>
            <c:strRef>
              <c:f>'Getriebe- u. Zugkraftdiagramm'!$C$123</c:f>
              <c:strCache>
                <c:ptCount val="1"/>
                <c:pt idx="0">
                  <c:v>10%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Zugkraftdiagramm'!$D$113:$L$113</c:f>
              <c:numCache/>
            </c:numRef>
          </c:xVal>
          <c:yVal>
            <c:numRef>
              <c:f>'Getriebe- u. Zugkraftdiagramm'!$D$123:$L$123</c:f>
              <c:numCache/>
            </c:numRef>
          </c:yVal>
          <c:smooth val="1"/>
        </c:ser>
        <c:ser>
          <c:idx val="10"/>
          <c:order val="13"/>
          <c:tx>
            <c:strRef>
              <c:f>'Getriebe- u. Zugkraftdiagramm'!$C$122</c:f>
              <c:strCache>
                <c:ptCount val="1"/>
                <c:pt idx="0">
                  <c:v>5%</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Zugkraftdiagramm'!$D$112:$L$112</c:f>
              <c:numCache/>
            </c:numRef>
          </c:xVal>
          <c:yVal>
            <c:numRef>
              <c:f>'Getriebe- u. Zugkraftdiagramm'!$D$122:$L$122</c:f>
              <c:numCache/>
            </c:numRef>
          </c:yVal>
          <c:smooth val="1"/>
        </c:ser>
        <c:ser>
          <c:idx val="9"/>
          <c:order val="14"/>
          <c:tx>
            <c:strRef>
              <c:f>'Getriebe- u. Zugkraftdiagramm'!$C$121</c:f>
              <c:strCache>
                <c:ptCount val="1"/>
                <c:pt idx="0">
                  <c:v>0%</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'Getriebe- u. Zugkraftdiagramm'!$D$111:$L$111</c:f>
              <c:numCache/>
            </c:numRef>
          </c:xVal>
          <c:yVal>
            <c:numRef>
              <c:f>'Getriebe- u. Zugkraftdiagramm'!$D$121:$L$121</c:f>
              <c:numCache/>
            </c:numRef>
          </c:yVal>
          <c:smooth val="1"/>
        </c:ser>
        <c:ser>
          <c:idx val="8"/>
          <c:order val="15"/>
          <c:tx>
            <c:strRef>
              <c:f>'Getriebe- u. Zugkraftdiagramm'!$C$120</c:f>
              <c:strCache>
                <c:ptCount val="1"/>
                <c:pt idx="0">
                  <c:v>-5%</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Zugkraftdiagramm'!$D$110:$L$110</c:f>
              <c:numCache/>
            </c:numRef>
          </c:xVal>
          <c:yVal>
            <c:numRef>
              <c:f>'Getriebe- u. Zugkraftdiagramm'!$D$120:$L$120</c:f>
              <c:numCache/>
            </c:numRef>
          </c:yVal>
          <c:smooth val="1"/>
        </c:ser>
        <c:ser>
          <c:idx val="7"/>
          <c:order val="16"/>
          <c:tx>
            <c:strRef>
              <c:f>'Getriebe- u. Zugkraftdiagramm'!$C$119</c:f>
              <c:strCache>
                <c:ptCount val="1"/>
                <c:pt idx="0">
                  <c:v>-10%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Zugkraftdiagramm'!$D$109:$L$109</c:f>
              <c:numCache/>
            </c:numRef>
          </c:xVal>
          <c:yVal>
            <c:numRef>
              <c:f>'Getriebe- u. Zugkraftdiagramm'!$D$119:$L$119</c:f>
              <c:numCache/>
            </c:numRef>
          </c:yVal>
          <c:smooth val="1"/>
        </c:ser>
        <c:ser>
          <c:idx val="6"/>
          <c:order val="17"/>
          <c:tx>
            <c:v>Leistungshyperbel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Zugkraftdiagramm'!$B$147:$K$147</c:f>
              <c:numCache/>
            </c:numRef>
          </c:xVal>
          <c:yVal>
            <c:numRef>
              <c:f>'Getriebe- u. Zugkraftdiagramm'!$B$148:$K$148</c:f>
              <c:numCache/>
            </c:numRef>
          </c:yVal>
          <c:smooth val="1"/>
        </c:ser>
        <c:axId val="15104327"/>
        <c:axId val="1721216"/>
      </c:scatterChart>
      <c:valAx>
        <c:axId val="15104327"/>
        <c:scaling>
          <c:orientation val="minMax"/>
          <c:max val="340"/>
          <c:min val="0"/>
        </c:scaling>
        <c:axPos val="b"/>
        <c:title>
          <c:tx>
            <c:rich>
              <a:bodyPr vert="horz" rot="0" anchor="ctr"/>
              <a:lstStyle/>
              <a:p>
                <a:pPr algn="ctr">
                  <a:defRPr/>
                </a:pPr>
                <a:r>
                  <a:rPr lang="en-US" cap="none" sz="1100" b="1" i="0" u="none" baseline="0">
                    <a:latin typeface="Arial"/>
                    <a:ea typeface="Arial"/>
                    <a:cs typeface="Arial"/>
                  </a:rPr>
                  <a:t>v/</a:t>
                </a:r>
                <a:r>
                  <a:rPr lang="en-US" cap="none" sz="1000" b="0" i="0" u="none" baseline="0">
                    <a:latin typeface="Arial"/>
                    <a:ea typeface="Arial"/>
                    <a:cs typeface="Arial"/>
                  </a:rPr>
                  <a:t>km/h</a:t>
                </a:r>
              </a:p>
            </c:rich>
          </c:tx>
          <c:layout>
            <c:manualLayout>
              <c:xMode val="factor"/>
              <c:yMode val="factor"/>
              <c:x val="0.00625"/>
              <c:y val="0.11025"/>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1721216"/>
        <c:crosses val="autoZero"/>
        <c:crossBetween val="midCat"/>
        <c:dispUnits/>
        <c:majorUnit val="20"/>
        <c:minorUnit val="5"/>
      </c:valAx>
      <c:valAx>
        <c:axId val="1721216"/>
        <c:scaling>
          <c:orientation val="minMax"/>
          <c:max val="16000"/>
          <c:min val="0"/>
        </c:scaling>
        <c:axPos val="l"/>
        <c:title>
          <c:tx>
            <c:rich>
              <a:bodyPr vert="horz" rot="0" anchor="ctr"/>
              <a:lstStyle/>
              <a:p>
                <a:pPr algn="ctr">
                  <a:defRPr/>
                </a:pPr>
                <a:r>
                  <a:rPr lang="en-US" cap="none" sz="1200" b="1" i="0" u="none" baseline="0">
                    <a:latin typeface="Arial"/>
                    <a:ea typeface="Arial"/>
                    <a:cs typeface="Arial"/>
                  </a:rPr>
                  <a:t>F/</a:t>
                </a:r>
                <a:r>
                  <a:rPr lang="en-US" cap="none" sz="1000" b="0" i="0" u="none" baseline="0">
                    <a:latin typeface="Arial"/>
                    <a:ea typeface="Arial"/>
                    <a:cs typeface="Arial"/>
                  </a:rPr>
                  <a:t>N</a:t>
                </a:r>
              </a:p>
            </c:rich>
          </c:tx>
          <c:layout>
            <c:manualLayout>
              <c:xMode val="factor"/>
              <c:yMode val="factor"/>
              <c:x val="0.01225"/>
              <c:y val="0.1395"/>
            </c:manualLayout>
          </c:layout>
          <c:overlay val="0"/>
          <c:spPr>
            <a:noFill/>
            <a:ln>
              <a:noFill/>
            </a:ln>
          </c:spPr>
        </c:title>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15104327"/>
        <c:crossesAt val="0"/>
        <c:crossBetween val="midCat"/>
        <c:dispUnits/>
        <c:majorUnit val="1000"/>
        <c:minorUnit val="50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xdr:colOff>
      <xdr:row>7</xdr:row>
      <xdr:rowOff>28575</xdr:rowOff>
    </xdr:from>
    <xdr:ext cx="5257800" cy="4010025"/>
    <xdr:graphicFrame>
      <xdr:nvGraphicFramePr>
        <xdr:cNvPr id="1" name="Chart 42"/>
        <xdr:cNvGraphicFramePr/>
      </xdr:nvGraphicFramePr>
      <xdr:xfrm>
        <a:off x="590550" y="1714500"/>
        <a:ext cx="5257800" cy="4010025"/>
      </xdr:xfrm>
      <a:graphic>
        <a:graphicData uri="http://schemas.openxmlformats.org/drawingml/2006/chart">
          <c:chart xmlns:c="http://schemas.openxmlformats.org/drawingml/2006/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57150</xdr:rowOff>
    </xdr:from>
    <xdr:to>
      <xdr:col>13</xdr:col>
      <xdr:colOff>466725</xdr:colOff>
      <xdr:row>50</xdr:row>
      <xdr:rowOff>133350</xdr:rowOff>
    </xdr:to>
    <xdr:graphicFrame>
      <xdr:nvGraphicFramePr>
        <xdr:cNvPr id="1" name="Chart 6"/>
        <xdr:cNvGraphicFramePr/>
      </xdr:nvGraphicFramePr>
      <xdr:xfrm>
        <a:off x="66675" y="6791325"/>
        <a:ext cx="6781800" cy="39624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8</xdr:row>
      <xdr:rowOff>76200</xdr:rowOff>
    </xdr:from>
    <xdr:to>
      <xdr:col>13</xdr:col>
      <xdr:colOff>228600</xdr:colOff>
      <xdr:row>26</xdr:row>
      <xdr:rowOff>76200</xdr:rowOff>
    </xdr:to>
    <xdr:graphicFrame>
      <xdr:nvGraphicFramePr>
        <xdr:cNvPr id="2" name="Chart 4"/>
        <xdr:cNvGraphicFramePr/>
      </xdr:nvGraphicFramePr>
      <xdr:xfrm>
        <a:off x="0" y="1857375"/>
        <a:ext cx="6610350" cy="4953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2"/>
  <sheetViews>
    <sheetView showGridLines="0" showOutlineSymbols="0" workbookViewId="0" topLeftCell="A1">
      <selection activeCell="A7" sqref="A7:L7"/>
    </sheetView>
  </sheetViews>
  <sheetFormatPr defaultColWidth="11.421875" defaultRowHeight="12.75"/>
  <cols>
    <col min="1" max="1" width="9.28125" style="10" customWidth="1"/>
    <col min="2" max="2" width="7.7109375" style="10" customWidth="1"/>
    <col min="3" max="12" width="7.7109375" style="1" customWidth="1"/>
    <col min="13" max="13" width="6.28125" style="1" customWidth="1"/>
    <col min="14" max="24" width="5.00390625" style="1" customWidth="1"/>
    <col min="25" max="26" width="3.57421875" style="1" customWidth="1"/>
    <col min="27" max="16384" width="11.421875" style="1" customWidth="1"/>
  </cols>
  <sheetData>
    <row r="1" spans="1:13" ht="16.5" customHeight="1">
      <c r="A1" s="190" t="s">
        <v>19</v>
      </c>
      <c r="B1" s="191"/>
      <c r="C1" s="5">
        <v>1000</v>
      </c>
      <c r="D1" s="4">
        <v>2000</v>
      </c>
      <c r="E1" s="5">
        <v>3000</v>
      </c>
      <c r="F1" s="5">
        <v>4000</v>
      </c>
      <c r="G1" s="5">
        <v>4900</v>
      </c>
      <c r="H1" s="5">
        <v>6000</v>
      </c>
      <c r="I1" s="5">
        <v>7000</v>
      </c>
      <c r="J1" s="5">
        <v>7900</v>
      </c>
      <c r="K1" s="5">
        <v>8000</v>
      </c>
      <c r="L1" s="5"/>
      <c r="M1" s="6"/>
    </row>
    <row r="2" spans="1:14" ht="16.5" customHeight="1">
      <c r="A2" s="192" t="s">
        <v>29</v>
      </c>
      <c r="B2" s="193"/>
      <c r="C2" s="3">
        <v>248.3</v>
      </c>
      <c r="D2" s="7">
        <v>290</v>
      </c>
      <c r="E2" s="3">
        <v>325</v>
      </c>
      <c r="F2" s="3">
        <v>355</v>
      </c>
      <c r="G2" s="3">
        <v>370</v>
      </c>
      <c r="H2" s="3">
        <v>360</v>
      </c>
      <c r="I2" s="3">
        <v>345</v>
      </c>
      <c r="J2" s="3">
        <v>320.3481012658228</v>
      </c>
      <c r="K2" s="3">
        <v>315.15</v>
      </c>
      <c r="L2" s="3"/>
      <c r="M2" s="8"/>
      <c r="N2" s="194"/>
    </row>
    <row r="3" spans="1:14" ht="16.5" customHeight="1">
      <c r="A3" s="192" t="s">
        <v>18</v>
      </c>
      <c r="B3" s="193"/>
      <c r="C3" s="148"/>
      <c r="D3" s="148"/>
      <c r="E3" s="148"/>
      <c r="F3" s="148"/>
      <c r="G3" s="148"/>
      <c r="H3" s="148"/>
      <c r="I3" s="148"/>
      <c r="J3" s="148"/>
      <c r="K3" s="148"/>
      <c r="L3" s="148"/>
      <c r="M3" s="149"/>
      <c r="N3" s="186"/>
    </row>
    <row r="4" spans="1:14" ht="16.5" customHeight="1">
      <c r="A4" s="192" t="s">
        <v>24</v>
      </c>
      <c r="B4" s="193"/>
      <c r="C4" s="150">
        <f>IF(C1="","",IF(C2="",C3/C1*9550,C2))</f>
        <v>248.3</v>
      </c>
      <c r="D4" s="150">
        <f aca="true" t="shared" si="0" ref="D4:M4">IF(D1="",C4,IF(D2="",D3/D1*9550,D2))</f>
        <v>290</v>
      </c>
      <c r="E4" s="150">
        <f t="shared" si="0"/>
        <v>325</v>
      </c>
      <c r="F4" s="150">
        <f>IF(F1="",E4,IF(F2="",F3/F1*9550,F2))</f>
        <v>355</v>
      </c>
      <c r="G4" s="150">
        <f>IF(G1="",F4,IF(G2="",G3/G1*9550,G2))</f>
        <v>370</v>
      </c>
      <c r="H4" s="150">
        <f t="shared" si="0"/>
        <v>360</v>
      </c>
      <c r="I4" s="150">
        <f t="shared" si="0"/>
        <v>345</v>
      </c>
      <c r="J4" s="150">
        <f t="shared" si="0"/>
        <v>320.3481012658228</v>
      </c>
      <c r="K4" s="150">
        <f t="shared" si="0"/>
        <v>315.15</v>
      </c>
      <c r="L4" s="150">
        <f t="shared" si="0"/>
        <v>315.15</v>
      </c>
      <c r="M4" s="151">
        <f t="shared" si="0"/>
        <v>315.15</v>
      </c>
      <c r="N4" s="9"/>
    </row>
    <row r="5" spans="1:14" ht="16.5" customHeight="1">
      <c r="A5" s="192" t="s">
        <v>25</v>
      </c>
      <c r="B5" s="193"/>
      <c r="C5" s="150">
        <f>IF(C1="","",IF(C3="",C4*C1/9550,C3))</f>
        <v>26</v>
      </c>
      <c r="D5" s="150">
        <f aca="true" t="shared" si="1" ref="D5:M5">IF(D1="",C5,IF(D3="",D4*D1/9550,D3))</f>
        <v>60.73298429319372</v>
      </c>
      <c r="E5" s="150">
        <f t="shared" si="1"/>
        <v>102.09424083769633</v>
      </c>
      <c r="F5" s="150">
        <f t="shared" si="1"/>
        <v>148.6910994764398</v>
      </c>
      <c r="G5" s="150">
        <f t="shared" si="1"/>
        <v>189.84293193717278</v>
      </c>
      <c r="H5" s="150">
        <f t="shared" si="1"/>
        <v>226.17801047120417</v>
      </c>
      <c r="I5" s="150">
        <f t="shared" si="1"/>
        <v>252.87958115183247</v>
      </c>
      <c r="J5" s="150">
        <f t="shared" si="1"/>
        <v>265</v>
      </c>
      <c r="K5" s="150">
        <f t="shared" si="1"/>
        <v>264</v>
      </c>
      <c r="L5" s="150">
        <f t="shared" si="1"/>
        <v>264</v>
      </c>
      <c r="M5" s="151">
        <f t="shared" si="1"/>
        <v>264</v>
      </c>
      <c r="N5" s="9"/>
    </row>
    <row r="6" spans="1:14" ht="16.5" customHeight="1" thickBot="1">
      <c r="A6" s="192" t="s">
        <v>83</v>
      </c>
      <c r="B6" s="193"/>
      <c r="C6" s="152">
        <f aca="true" t="shared" si="2" ref="C6:M6">C5*1.36</f>
        <v>35.36</v>
      </c>
      <c r="D6" s="152">
        <f t="shared" si="2"/>
        <v>82.59685863874346</v>
      </c>
      <c r="E6" s="152">
        <f t="shared" si="2"/>
        <v>138.84816753926702</v>
      </c>
      <c r="F6" s="152">
        <f t="shared" si="2"/>
        <v>202.21989528795814</v>
      </c>
      <c r="G6" s="152">
        <f t="shared" si="2"/>
        <v>258.186387434555</v>
      </c>
      <c r="H6" s="152">
        <f t="shared" si="2"/>
        <v>307.6020942408377</v>
      </c>
      <c r="I6" s="152">
        <f t="shared" si="2"/>
        <v>343.9162303664922</v>
      </c>
      <c r="J6" s="152">
        <f t="shared" si="2"/>
        <v>360.40000000000003</v>
      </c>
      <c r="K6" s="152">
        <f t="shared" si="2"/>
        <v>359.04</v>
      </c>
      <c r="L6" s="152">
        <f t="shared" si="2"/>
        <v>359.04</v>
      </c>
      <c r="M6" s="153">
        <f t="shared" si="2"/>
        <v>359.04</v>
      </c>
      <c r="N6" s="9"/>
    </row>
    <row r="7" spans="1:13" ht="33.75" customHeight="1">
      <c r="A7" s="189" t="s">
        <v>82</v>
      </c>
      <c r="B7" s="189"/>
      <c r="C7" s="189"/>
      <c r="D7" s="189"/>
      <c r="E7" s="189"/>
      <c r="F7" s="189"/>
      <c r="G7" s="189"/>
      <c r="H7" s="189"/>
      <c r="I7" s="189"/>
      <c r="J7" s="189"/>
      <c r="K7" s="189"/>
      <c r="L7" s="189"/>
      <c r="M7" s="73"/>
    </row>
    <row r="8" spans="1:13" ht="16.5" customHeight="1">
      <c r="A8" s="33"/>
      <c r="B8" s="33"/>
      <c r="C8" s="64"/>
      <c r="D8" s="65"/>
      <c r="E8" s="65"/>
      <c r="F8" s="65"/>
      <c r="G8" s="65"/>
      <c r="H8" s="65"/>
      <c r="I8" s="65"/>
      <c r="J8" s="65"/>
      <c r="K8" s="65"/>
      <c r="L8" s="65"/>
      <c r="M8" s="65"/>
    </row>
    <row r="9" spans="1:26" ht="16.5" customHeight="1">
      <c r="A9" s="33"/>
      <c r="B9" s="33"/>
      <c r="C9" s="64"/>
      <c r="D9" s="65"/>
      <c r="E9" s="65"/>
      <c r="F9" s="65"/>
      <c r="G9" s="65"/>
      <c r="H9" s="65"/>
      <c r="I9" s="65"/>
      <c r="J9" s="65"/>
      <c r="K9" s="65"/>
      <c r="L9" s="65"/>
      <c r="M9" s="65"/>
      <c r="Y9" s="173"/>
      <c r="Z9" s="173"/>
    </row>
    <row r="10" spans="1:26" ht="16.5" customHeight="1">
      <c r="A10" s="33"/>
      <c r="B10" s="33"/>
      <c r="C10" s="64"/>
      <c r="D10" s="65"/>
      <c r="E10" s="65"/>
      <c r="F10" s="65"/>
      <c r="G10" s="65"/>
      <c r="H10" s="65"/>
      <c r="I10" s="65"/>
      <c r="J10" s="65"/>
      <c r="K10" s="65"/>
      <c r="L10" s="65"/>
      <c r="M10" s="65"/>
      <c r="N10" s="174"/>
      <c r="O10" s="174"/>
      <c r="P10" s="174"/>
      <c r="Q10" s="174"/>
      <c r="R10" s="174"/>
      <c r="S10" s="174"/>
      <c r="T10" s="174"/>
      <c r="U10" s="174"/>
      <c r="V10" s="174"/>
      <c r="W10" s="174"/>
      <c r="X10" s="174"/>
      <c r="Y10" s="174"/>
      <c r="Z10" s="174"/>
    </row>
    <row r="11" spans="1:24" ht="16.5" customHeight="1">
      <c r="A11" s="33"/>
      <c r="B11" s="33"/>
      <c r="C11" s="64"/>
      <c r="D11" s="65"/>
      <c r="E11" s="65"/>
      <c r="F11" s="65"/>
      <c r="G11" s="65"/>
      <c r="H11" s="65"/>
      <c r="I11" s="65"/>
      <c r="J11" s="65"/>
      <c r="K11" s="65"/>
      <c r="L11" s="65"/>
      <c r="M11" s="65"/>
      <c r="N11" s="173"/>
      <c r="O11" s="173"/>
      <c r="P11" s="173"/>
      <c r="Q11" s="173"/>
      <c r="R11" s="173"/>
      <c r="S11" s="173"/>
      <c r="T11" s="173"/>
      <c r="U11" s="173"/>
      <c r="V11" s="173"/>
      <c r="W11" s="173"/>
      <c r="X11" s="173"/>
    </row>
    <row r="12" spans="1:13" ht="16.5" customHeight="1">
      <c r="A12" s="33"/>
      <c r="B12" s="33"/>
      <c r="C12" s="64"/>
      <c r="D12" s="65"/>
      <c r="E12" s="65"/>
      <c r="F12" s="65"/>
      <c r="G12" s="65"/>
      <c r="H12" s="65"/>
      <c r="I12" s="65"/>
      <c r="J12" s="65"/>
      <c r="K12" s="65"/>
      <c r="L12" s="65"/>
      <c r="M12" s="65"/>
    </row>
    <row r="13" spans="1:13" ht="16.5" customHeight="1">
      <c r="A13" s="33"/>
      <c r="B13" s="33"/>
      <c r="C13" s="64"/>
      <c r="D13" s="65"/>
      <c r="E13" s="65"/>
      <c r="F13" s="65"/>
      <c r="G13" s="65"/>
      <c r="H13" s="65"/>
      <c r="I13" s="65"/>
      <c r="J13" s="65"/>
      <c r="K13" s="65"/>
      <c r="L13" s="65"/>
      <c r="M13" s="65"/>
    </row>
    <row r="14" spans="1:13" ht="16.5" customHeight="1">
      <c r="A14" s="33"/>
      <c r="B14" s="33"/>
      <c r="C14" s="64"/>
      <c r="D14" s="65"/>
      <c r="E14" s="65"/>
      <c r="F14" s="65"/>
      <c r="G14" s="65"/>
      <c r="H14" s="65"/>
      <c r="I14" s="65"/>
      <c r="J14" s="65"/>
      <c r="K14" s="65"/>
      <c r="L14" s="65"/>
      <c r="M14" s="65"/>
    </row>
    <row r="15" spans="1:13" ht="16.5" customHeight="1">
      <c r="A15" s="33"/>
      <c r="B15" s="33"/>
      <c r="C15" s="64"/>
      <c r="D15" s="65"/>
      <c r="E15" s="65"/>
      <c r="F15" s="65"/>
      <c r="G15" s="65"/>
      <c r="H15" s="65"/>
      <c r="I15" s="65"/>
      <c r="J15" s="65"/>
      <c r="K15" s="65"/>
      <c r="L15" s="65"/>
      <c r="M15" s="65"/>
    </row>
    <row r="16" spans="1:13" ht="16.5" customHeight="1">
      <c r="A16" s="33"/>
      <c r="B16" s="33"/>
      <c r="C16" s="64"/>
      <c r="D16" s="65"/>
      <c r="E16" s="65"/>
      <c r="F16" s="65"/>
      <c r="G16" s="65"/>
      <c r="H16" s="65"/>
      <c r="I16" s="65"/>
      <c r="J16" s="65"/>
      <c r="K16" s="65"/>
      <c r="L16" s="65"/>
      <c r="M16" s="65"/>
    </row>
    <row r="17" spans="1:13" ht="16.5" customHeight="1">
      <c r="A17" s="33"/>
      <c r="B17" s="33"/>
      <c r="C17" s="64"/>
      <c r="D17" s="65"/>
      <c r="E17" s="65"/>
      <c r="F17" s="65"/>
      <c r="G17" s="65"/>
      <c r="H17" s="65"/>
      <c r="I17" s="65"/>
      <c r="J17" s="65"/>
      <c r="K17" s="65"/>
      <c r="L17" s="65"/>
      <c r="M17" s="65"/>
    </row>
    <row r="18" spans="1:13" ht="16.5" customHeight="1">
      <c r="A18" s="33"/>
      <c r="B18" s="33"/>
      <c r="C18" s="64"/>
      <c r="D18" s="65"/>
      <c r="E18" s="65"/>
      <c r="F18" s="65"/>
      <c r="G18" s="65"/>
      <c r="H18" s="65"/>
      <c r="I18" s="65"/>
      <c r="J18" s="65"/>
      <c r="K18" s="65"/>
      <c r="L18" s="65"/>
      <c r="M18" s="65"/>
    </row>
    <row r="19" spans="1:13" ht="16.5" customHeight="1">
      <c r="A19" s="33"/>
      <c r="B19" s="33"/>
      <c r="C19" s="64"/>
      <c r="D19" s="65"/>
      <c r="E19" s="65"/>
      <c r="F19" s="65"/>
      <c r="G19" s="65"/>
      <c r="H19" s="65"/>
      <c r="I19" s="65"/>
      <c r="J19" s="65"/>
      <c r="K19" s="65"/>
      <c r="L19" s="65"/>
      <c r="M19" s="65"/>
    </row>
    <row r="20" spans="1:13" ht="16.5" customHeight="1">
      <c r="A20" s="33"/>
      <c r="B20" s="33"/>
      <c r="C20" s="64"/>
      <c r="D20" s="65"/>
      <c r="E20" s="65"/>
      <c r="F20" s="65"/>
      <c r="G20" s="65"/>
      <c r="H20" s="65"/>
      <c r="I20" s="65"/>
      <c r="J20" s="65"/>
      <c r="K20" s="65"/>
      <c r="L20" s="65"/>
      <c r="M20" s="65"/>
    </row>
    <row r="21" spans="1:13" ht="16.5" customHeight="1">
      <c r="A21" s="33"/>
      <c r="B21" s="33"/>
      <c r="C21" s="64"/>
      <c r="D21" s="65"/>
      <c r="E21" s="65"/>
      <c r="F21" s="65"/>
      <c r="G21" s="65"/>
      <c r="H21" s="65"/>
      <c r="I21" s="65"/>
      <c r="J21" s="65"/>
      <c r="K21" s="65"/>
      <c r="L21" s="65"/>
      <c r="M21" s="65"/>
    </row>
    <row r="22" spans="1:13" ht="16.5" customHeight="1">
      <c r="A22" s="33"/>
      <c r="B22" s="33"/>
      <c r="C22" s="64"/>
      <c r="D22" s="65"/>
      <c r="E22" s="65"/>
      <c r="F22" s="65"/>
      <c r="G22" s="65"/>
      <c r="H22" s="65"/>
      <c r="I22" s="65"/>
      <c r="J22" s="65"/>
      <c r="K22" s="65"/>
      <c r="L22" s="65"/>
      <c r="M22" s="65"/>
    </row>
    <row r="23" spans="1:13" ht="16.5" customHeight="1">
      <c r="A23" s="33"/>
      <c r="B23" s="33"/>
      <c r="C23" s="64"/>
      <c r="D23" s="65"/>
      <c r="E23" s="65"/>
      <c r="F23" s="65"/>
      <c r="G23" s="65"/>
      <c r="H23" s="65"/>
      <c r="I23" s="65"/>
      <c r="J23" s="65"/>
      <c r="K23" s="65"/>
      <c r="L23" s="65"/>
      <c r="M23" s="65"/>
    </row>
    <row r="24" spans="1:13" ht="16.5" customHeight="1">
      <c r="A24" s="33"/>
      <c r="B24" s="33"/>
      <c r="C24" s="64"/>
      <c r="D24" s="65"/>
      <c r="E24" s="65"/>
      <c r="F24" s="65"/>
      <c r="G24" s="65"/>
      <c r="H24" s="65"/>
      <c r="I24" s="65"/>
      <c r="J24" s="65"/>
      <c r="K24" s="65"/>
      <c r="L24" s="65"/>
      <c r="M24" s="65"/>
    </row>
    <row r="25" spans="1:13" ht="16.5" customHeight="1">
      <c r="A25" s="33"/>
      <c r="B25" s="33"/>
      <c r="C25" s="64"/>
      <c r="D25" s="65"/>
      <c r="E25" s="65"/>
      <c r="F25" s="65"/>
      <c r="G25" s="65"/>
      <c r="H25" s="65"/>
      <c r="I25" s="65"/>
      <c r="J25" s="65"/>
      <c r="K25" s="65"/>
      <c r="L25" s="65"/>
      <c r="M25" s="65"/>
    </row>
    <row r="26" spans="1:13" ht="16.5" customHeight="1">
      <c r="A26" s="33"/>
      <c r="B26" s="33"/>
      <c r="C26" s="64"/>
      <c r="D26" s="65"/>
      <c r="E26" s="65"/>
      <c r="F26" s="65"/>
      <c r="G26" s="65"/>
      <c r="H26" s="65"/>
      <c r="I26" s="65"/>
      <c r="J26" s="65"/>
      <c r="K26" s="65"/>
      <c r="L26" s="65"/>
      <c r="M26" s="65"/>
    </row>
    <row r="27" spans="1:13" ht="16.5" customHeight="1" thickBot="1">
      <c r="A27" s="33"/>
      <c r="B27" s="33"/>
      <c r="C27" s="64"/>
      <c r="D27" s="65"/>
      <c r="E27" s="65"/>
      <c r="F27" s="65"/>
      <c r="G27" s="65"/>
      <c r="H27" s="65"/>
      <c r="I27" s="65"/>
      <c r="J27" s="65"/>
      <c r="K27" s="65"/>
      <c r="L27" s="65"/>
      <c r="M27" s="65"/>
    </row>
    <row r="28" spans="1:13" ht="16.5" customHeight="1" thickBot="1">
      <c r="A28" s="40" t="str">
        <f>A1</f>
        <v>n/min-1</v>
      </c>
      <c r="B28" s="38">
        <f aca="true" t="shared" si="3" ref="B28:L28">IF(C1="","",C1)</f>
        <v>1000</v>
      </c>
      <c r="C28" s="36">
        <f t="shared" si="3"/>
        <v>2000</v>
      </c>
      <c r="D28" s="36">
        <f t="shared" si="3"/>
        <v>3000</v>
      </c>
      <c r="E28" s="36">
        <f t="shared" si="3"/>
        <v>4000</v>
      </c>
      <c r="F28" s="36">
        <f t="shared" si="3"/>
        <v>4900</v>
      </c>
      <c r="G28" s="36">
        <f t="shared" si="3"/>
        <v>6000</v>
      </c>
      <c r="H28" s="36">
        <f t="shared" si="3"/>
        <v>7000</v>
      </c>
      <c r="I28" s="36">
        <f t="shared" si="3"/>
        <v>7900</v>
      </c>
      <c r="J28" s="36">
        <f t="shared" si="3"/>
        <v>8000</v>
      </c>
      <c r="K28" s="36">
        <f t="shared" si="3"/>
      </c>
      <c r="L28" s="37">
        <f t="shared" si="3"/>
      </c>
      <c r="M28" s="65"/>
    </row>
    <row r="29" spans="1:13" ht="16.5" customHeight="1">
      <c r="A29" s="39" t="s">
        <v>36</v>
      </c>
      <c r="B29" s="154">
        <f aca="true" t="shared" si="4" ref="B29:L31">IF(B28="","",C4)</f>
        <v>248.3</v>
      </c>
      <c r="C29" s="155">
        <f t="shared" si="4"/>
        <v>290</v>
      </c>
      <c r="D29" s="155">
        <f t="shared" si="4"/>
        <v>325</v>
      </c>
      <c r="E29" s="155">
        <f t="shared" si="4"/>
        <v>355</v>
      </c>
      <c r="F29" s="155">
        <f t="shared" si="4"/>
        <v>370</v>
      </c>
      <c r="G29" s="155">
        <f t="shared" si="4"/>
        <v>360</v>
      </c>
      <c r="H29" s="155">
        <f t="shared" si="4"/>
        <v>345</v>
      </c>
      <c r="I29" s="155">
        <f t="shared" si="4"/>
        <v>320.3481012658228</v>
      </c>
      <c r="J29" s="155">
        <f t="shared" si="4"/>
        <v>315.15</v>
      </c>
      <c r="K29" s="155">
        <f t="shared" si="4"/>
      </c>
      <c r="L29" s="156">
        <f t="shared" si="4"/>
      </c>
      <c r="M29" s="65"/>
    </row>
    <row r="30" spans="1:13" ht="16.5" customHeight="1">
      <c r="A30" s="34" t="s">
        <v>18</v>
      </c>
      <c r="B30" s="157">
        <f t="shared" si="4"/>
        <v>26</v>
      </c>
      <c r="C30" s="158">
        <f t="shared" si="4"/>
        <v>60.73298429319372</v>
      </c>
      <c r="D30" s="158">
        <f t="shared" si="4"/>
        <v>102.09424083769633</v>
      </c>
      <c r="E30" s="158">
        <f t="shared" si="4"/>
        <v>148.6910994764398</v>
      </c>
      <c r="F30" s="158">
        <f t="shared" si="4"/>
        <v>189.84293193717278</v>
      </c>
      <c r="G30" s="158">
        <f t="shared" si="4"/>
        <v>226.17801047120417</v>
      </c>
      <c r="H30" s="158">
        <f t="shared" si="4"/>
        <v>252.87958115183247</v>
      </c>
      <c r="I30" s="158">
        <f t="shared" si="4"/>
        <v>265</v>
      </c>
      <c r="J30" s="158">
        <f t="shared" si="4"/>
        <v>264</v>
      </c>
      <c r="K30" s="158">
        <f t="shared" si="4"/>
      </c>
      <c r="L30" s="159">
        <f t="shared" si="4"/>
      </c>
      <c r="M30" s="65"/>
    </row>
    <row r="31" spans="1:13" ht="16.5" customHeight="1" thickBot="1">
      <c r="A31" s="35" t="s">
        <v>35</v>
      </c>
      <c r="B31" s="160">
        <f t="shared" si="4"/>
        <v>35.36</v>
      </c>
      <c r="C31" s="161">
        <f t="shared" si="4"/>
        <v>82.59685863874346</v>
      </c>
      <c r="D31" s="161">
        <f t="shared" si="4"/>
        <v>138.84816753926702</v>
      </c>
      <c r="E31" s="161">
        <f t="shared" si="4"/>
        <v>202.21989528795814</v>
      </c>
      <c r="F31" s="161">
        <f t="shared" si="4"/>
        <v>258.186387434555</v>
      </c>
      <c r="G31" s="161">
        <f t="shared" si="4"/>
        <v>307.6020942408377</v>
      </c>
      <c r="H31" s="161">
        <f t="shared" si="4"/>
        <v>343.9162303664922</v>
      </c>
      <c r="I31" s="161">
        <f t="shared" si="4"/>
        <v>360.40000000000003</v>
      </c>
      <c r="J31" s="161">
        <f t="shared" si="4"/>
        <v>359.04</v>
      </c>
      <c r="K31" s="161">
        <f t="shared" si="4"/>
      </c>
      <c r="L31" s="162">
        <f t="shared" si="4"/>
      </c>
      <c r="M31" s="65"/>
    </row>
    <row r="32" spans="1:13" ht="16.5" customHeight="1">
      <c r="A32" s="33"/>
      <c r="B32" s="33"/>
      <c r="C32" s="64"/>
      <c r="D32" s="65"/>
      <c r="E32" s="65"/>
      <c r="F32" s="65"/>
      <c r="G32" s="65"/>
      <c r="H32" s="65"/>
      <c r="I32" s="65"/>
      <c r="J32" s="65"/>
      <c r="K32" s="65"/>
      <c r="L32" s="65"/>
      <c r="M32" s="65"/>
    </row>
  </sheetData>
  <mergeCells count="8">
    <mergeCell ref="N2:N3"/>
    <mergeCell ref="A4:B4"/>
    <mergeCell ref="A5:B5"/>
    <mergeCell ref="A6:B6"/>
    <mergeCell ref="A7:L7"/>
    <mergeCell ref="A1:B1"/>
    <mergeCell ref="A2:B2"/>
    <mergeCell ref="A3:B3"/>
  </mergeCells>
  <printOptions/>
  <pageMargins left="0.75" right="0.62" top="1" bottom="1" header="0.4921259845" footer="0.4921259845"/>
  <pageSetup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149"/>
  <sheetViews>
    <sheetView showGridLines="0" tabSelected="1" showOutlineSymbols="0" zoomScaleSheetLayoutView="100" workbookViewId="0" topLeftCell="A1">
      <selection activeCell="J5" sqref="J5"/>
    </sheetView>
  </sheetViews>
  <sheetFormatPr defaultColWidth="11.421875" defaultRowHeight="12.75"/>
  <cols>
    <col min="1" max="3" width="7.28125" style="32" customWidth="1"/>
    <col min="4" max="4" width="8.28125" style="32" customWidth="1"/>
    <col min="5" max="14" width="7.28125" style="32" customWidth="1"/>
    <col min="15" max="15" width="5.00390625" style="32" customWidth="1"/>
    <col min="16" max="16" width="3.28125" style="32" customWidth="1"/>
    <col min="17" max="17" width="5.421875" style="32" customWidth="1"/>
    <col min="18" max="18" width="6.00390625" style="32" customWidth="1"/>
    <col min="19" max="19" width="5.140625" style="32" customWidth="1"/>
    <col min="20" max="20" width="10.28125" style="32" customWidth="1"/>
    <col min="21" max="24" width="5.140625" style="32" customWidth="1"/>
    <col min="25" max="16384" width="11.421875" style="32" customWidth="1"/>
  </cols>
  <sheetData>
    <row r="1" spans="1:14" ht="35.25" customHeight="1" thickBot="1">
      <c r="A1" s="209" t="str">
        <f>'Leistung u. Drehmoment'!A7</f>
        <v>BMW M3 CSL Bj.2003
3246 cm³, 91 X 87</v>
      </c>
      <c r="B1" s="209"/>
      <c r="C1" s="209"/>
      <c r="D1" s="209"/>
      <c r="E1" s="209"/>
      <c r="F1" s="209"/>
      <c r="G1" s="209"/>
      <c r="H1" s="209"/>
      <c r="I1" s="209"/>
      <c r="J1" s="209"/>
      <c r="K1" s="209"/>
      <c r="L1" s="209"/>
      <c r="M1" s="209"/>
      <c r="N1" s="209"/>
    </row>
    <row r="2" spans="1:14" ht="15.75" customHeight="1">
      <c r="A2" s="225" t="s">
        <v>44</v>
      </c>
      <c r="B2" s="226"/>
      <c r="C2" s="226"/>
      <c r="D2" s="226"/>
      <c r="E2" s="226"/>
      <c r="F2" s="226"/>
      <c r="G2" s="226"/>
      <c r="H2" s="227"/>
      <c r="I2" s="216" t="s">
        <v>45</v>
      </c>
      <c r="J2" s="217"/>
      <c r="K2" s="217"/>
      <c r="L2" s="217"/>
      <c r="M2" s="217"/>
      <c r="N2" s="218"/>
    </row>
    <row r="3" spans="1:14" ht="26.25" customHeight="1">
      <c r="A3" s="67" t="s">
        <v>43</v>
      </c>
      <c r="B3" s="130" t="s">
        <v>71</v>
      </c>
      <c r="C3" s="68" t="s">
        <v>42</v>
      </c>
      <c r="D3" s="221" t="s">
        <v>70</v>
      </c>
      <c r="E3" s="222"/>
      <c r="F3" s="68" t="s">
        <v>41</v>
      </c>
      <c r="G3" s="221" t="s">
        <v>40</v>
      </c>
      <c r="H3" s="228"/>
      <c r="I3" s="67" t="s">
        <v>46</v>
      </c>
      <c r="J3" s="68" t="s">
        <v>47</v>
      </c>
      <c r="K3" s="68" t="s">
        <v>48</v>
      </c>
      <c r="L3" s="219" t="s">
        <v>49</v>
      </c>
      <c r="M3" s="220"/>
      <c r="N3" s="71" t="s">
        <v>23</v>
      </c>
    </row>
    <row r="4" spans="1:14" ht="13.5" thickBot="1">
      <c r="A4" s="69">
        <v>265</v>
      </c>
      <c r="B4" s="63">
        <v>35</v>
      </c>
      <c r="C4" s="63">
        <v>19</v>
      </c>
      <c r="D4" s="223" t="s">
        <v>81</v>
      </c>
      <c r="E4" s="224"/>
      <c r="F4" s="66">
        <f>IF(D4="M",(C4*25.4+2*B4/100*A4)*PI()*0.961/1000,(C4*25.4+2*B4/100*A4)*PI()*0.97129/1000)</f>
        <v>2.0386386887943444</v>
      </c>
      <c r="G4" s="235">
        <v>0.016</v>
      </c>
      <c r="H4" s="236"/>
      <c r="I4" s="74">
        <v>1421</v>
      </c>
      <c r="J4" s="70">
        <v>1.75</v>
      </c>
      <c r="K4" s="70">
        <v>1.365</v>
      </c>
      <c r="L4" s="204">
        <f>ROUND(J4*K4*0.83,2)</f>
        <v>1.98</v>
      </c>
      <c r="M4" s="204"/>
      <c r="N4" s="53">
        <v>0.35</v>
      </c>
    </row>
    <row r="5" ht="6" customHeight="1" thickBot="1">
      <c r="N5" s="72"/>
    </row>
    <row r="6" spans="1:14" ht="14.25" customHeight="1">
      <c r="A6" s="229" t="s">
        <v>21</v>
      </c>
      <c r="B6" s="230"/>
      <c r="C6" s="119" t="s">
        <v>65</v>
      </c>
      <c r="D6" s="119" t="s">
        <v>66</v>
      </c>
      <c r="E6" s="41" t="s">
        <v>64</v>
      </c>
      <c r="F6" s="41" t="s">
        <v>8</v>
      </c>
      <c r="G6" s="41" t="s">
        <v>9</v>
      </c>
      <c r="H6" s="41" t="s">
        <v>5</v>
      </c>
      <c r="I6" s="41" t="s">
        <v>6</v>
      </c>
      <c r="J6" s="41" t="s">
        <v>7</v>
      </c>
      <c r="K6" s="41" t="s">
        <v>10</v>
      </c>
      <c r="L6" s="42" t="s">
        <v>31</v>
      </c>
      <c r="M6" s="210" t="s">
        <v>52</v>
      </c>
      <c r="N6" s="211"/>
    </row>
    <row r="7" spans="1:14" ht="15.75" customHeight="1">
      <c r="A7" s="231"/>
      <c r="B7" s="232"/>
      <c r="C7" s="120">
        <v>1</v>
      </c>
      <c r="D7" s="120">
        <v>1</v>
      </c>
      <c r="E7" s="2">
        <v>3.62</v>
      </c>
      <c r="F7" s="2">
        <v>4.227</v>
      </c>
      <c r="G7" s="2">
        <v>2.528</v>
      </c>
      <c r="H7" s="2">
        <v>1.669</v>
      </c>
      <c r="I7" s="2">
        <v>1.226</v>
      </c>
      <c r="J7" s="2">
        <v>1</v>
      </c>
      <c r="K7" s="2">
        <v>0.828</v>
      </c>
      <c r="L7" s="185"/>
      <c r="M7" s="212"/>
      <c r="N7" s="213"/>
    </row>
    <row r="8" spans="1:14" ht="13.5" thickBot="1">
      <c r="A8" s="233" t="s">
        <v>22</v>
      </c>
      <c r="B8" s="234"/>
      <c r="C8" s="237">
        <v>1</v>
      </c>
      <c r="D8" s="238"/>
      <c r="E8" s="52">
        <v>0.97</v>
      </c>
      <c r="F8" s="52">
        <v>0.9</v>
      </c>
      <c r="G8" s="52">
        <v>0.91</v>
      </c>
      <c r="H8" s="52">
        <v>0.93</v>
      </c>
      <c r="I8" s="52">
        <v>0.95</v>
      </c>
      <c r="J8" s="52">
        <v>0.98</v>
      </c>
      <c r="K8" s="52">
        <v>0.93</v>
      </c>
      <c r="L8" s="53"/>
      <c r="M8" s="214">
        <f>IF((MAX('Leistung u. Drehmoment'!C1:M1)&lt;D63),MAX('Leistung u. Drehmoment'!C1:M1),D63)</f>
        <v>8000</v>
      </c>
      <c r="N8" s="215"/>
    </row>
    <row r="9" ht="12.75"/>
    <row r="10" spans="6:17" ht="13.5" customHeight="1">
      <c r="F10" s="62"/>
      <c r="G10" s="62"/>
      <c r="H10" s="62"/>
      <c r="I10" s="62"/>
      <c r="J10" s="62"/>
      <c r="K10" s="62"/>
      <c r="L10" s="62"/>
      <c r="M10" s="62"/>
      <c r="N10" s="62"/>
      <c r="O10" s="2">
        <v>1.02</v>
      </c>
      <c r="Q10" s="2">
        <v>1.1</v>
      </c>
    </row>
    <row r="11" ht="59.25" customHeight="1">
      <c r="N11" s="146">
        <f>IF(OR(T15+L118=T15,T15=""),"",T15)</f>
        <v>99.99</v>
      </c>
    </row>
    <row r="12" spans="14:41" ht="44.25" customHeight="1" thickBot="1">
      <c r="N12" s="146">
        <f>IF(OR(T16+L117=T16,T16=""),"",T16)</f>
        <v>0.8</v>
      </c>
      <c r="V12" s="72"/>
      <c r="W12" s="72"/>
      <c r="X12" s="72"/>
      <c r="Y12" s="72"/>
      <c r="Z12" s="72"/>
      <c r="AA12" s="72"/>
      <c r="AB12" s="72"/>
      <c r="AC12" s="72"/>
      <c r="AD12" s="72"/>
      <c r="AE12" s="72"/>
      <c r="AF12" s="72"/>
      <c r="AG12" s="72"/>
      <c r="AH12" s="72"/>
      <c r="AI12" s="72"/>
      <c r="AJ12" s="72"/>
      <c r="AK12" s="72"/>
      <c r="AL12" s="72"/>
      <c r="AM12" s="72"/>
      <c r="AN12" s="72"/>
      <c r="AO12" s="72"/>
    </row>
    <row r="13" spans="14:41" ht="35.25" customHeight="1">
      <c r="N13" s="146">
        <f>IF(OR(T17+L116=T17,T17=""),"",T17)</f>
        <v>0.5</v>
      </c>
      <c r="T13" s="144" t="s">
        <v>72</v>
      </c>
      <c r="U13" s="139"/>
      <c r="V13" s="139"/>
      <c r="W13" s="139"/>
      <c r="X13" s="139"/>
      <c r="Y13" s="139"/>
      <c r="Z13" s="139"/>
      <c r="AA13" s="139"/>
      <c r="AB13" s="139"/>
      <c r="AC13" s="139"/>
      <c r="AD13" s="139"/>
      <c r="AE13" s="139"/>
      <c r="AF13" s="72"/>
      <c r="AG13" s="72"/>
      <c r="AH13" s="72"/>
      <c r="AI13" s="72"/>
      <c r="AJ13" s="72"/>
      <c r="AK13" s="72"/>
      <c r="AL13" s="72"/>
      <c r="AM13" s="72"/>
      <c r="AN13" s="72"/>
      <c r="AO13" s="72"/>
    </row>
    <row r="14" spans="14:41" ht="44.25" customHeight="1">
      <c r="N14" s="146">
        <f>IF(OR(T18+L115=T18,T18=""),"",T18)</f>
        <v>0.3</v>
      </c>
      <c r="T14" s="141" t="s">
        <v>37</v>
      </c>
      <c r="U14" s="140"/>
      <c r="V14" s="72"/>
      <c r="W14" s="72"/>
      <c r="X14" s="72"/>
      <c r="Y14" s="72"/>
      <c r="Z14" s="72"/>
      <c r="AA14" s="72"/>
      <c r="AB14" s="72"/>
      <c r="AC14" s="72"/>
      <c r="AD14" s="72"/>
      <c r="AE14" s="72"/>
      <c r="AF14" s="72"/>
      <c r="AG14" s="72"/>
      <c r="AH14" s="72"/>
      <c r="AI14" s="72"/>
      <c r="AJ14" s="72"/>
      <c r="AK14" s="72"/>
      <c r="AL14" s="72"/>
      <c r="AM14" s="72"/>
      <c r="AN14" s="72"/>
      <c r="AO14" s="72"/>
    </row>
    <row r="15" spans="14:20" ht="30" customHeight="1" thickBot="1">
      <c r="N15" s="146">
        <f>IF(OR(T19+L114=T19,T19=""),"",T19)</f>
        <v>0.2</v>
      </c>
      <c r="T15" s="142">
        <v>99.99</v>
      </c>
    </row>
    <row r="16" spans="14:20" ht="16.5" customHeight="1" thickBot="1">
      <c r="N16" s="146">
        <f>IF(OR(T20+L113=T20,T20=""),"",T20)</f>
        <v>0.1</v>
      </c>
      <c r="Q16" s="137" t="s">
        <v>68</v>
      </c>
      <c r="R16" s="138" t="s">
        <v>55</v>
      </c>
      <c r="T16" s="142">
        <v>0.8</v>
      </c>
    </row>
    <row r="17" spans="14:20" ht="12.75" customHeight="1">
      <c r="N17" s="146">
        <f>IF(OR(T21+L112=T21,T21=""),"",T21)</f>
        <v>0.05</v>
      </c>
      <c r="Q17" s="135" t="s">
        <v>8</v>
      </c>
      <c r="R17" s="136"/>
      <c r="T17" s="142">
        <v>0.5</v>
      </c>
    </row>
    <row r="18" spans="14:20" ht="15.75" customHeight="1">
      <c r="N18" s="147">
        <f>IF(OR(T22+L111=T22,T22=""),"",T22)</f>
        <v>0</v>
      </c>
      <c r="Q18" s="133" t="s">
        <v>9</v>
      </c>
      <c r="R18" s="131"/>
      <c r="T18" s="142">
        <v>0.3</v>
      </c>
    </row>
    <row r="19" spans="14:20" ht="15" customHeight="1">
      <c r="N19" s="146">
        <f>IF(OR(T23+L110=T23,T23=""),"",T23)</f>
        <v>-0.05</v>
      </c>
      <c r="Q19" s="133" t="s">
        <v>5</v>
      </c>
      <c r="R19" s="131"/>
      <c r="T19" s="142">
        <v>0.2</v>
      </c>
    </row>
    <row r="20" spans="14:20" ht="12.75" customHeight="1">
      <c r="N20" s="146">
        <f>IF(OR(T24+L109=T24,T24=""),"",T24)</f>
        <v>-0.1</v>
      </c>
      <c r="Q20" s="133" t="s">
        <v>6</v>
      </c>
      <c r="R20" s="131"/>
      <c r="T20" s="142">
        <v>0.1</v>
      </c>
    </row>
    <row r="21" spans="17:20" ht="12.75">
      <c r="Q21" s="133" t="s">
        <v>7</v>
      </c>
      <c r="R21" s="93"/>
      <c r="T21" s="142">
        <v>0.05</v>
      </c>
    </row>
    <row r="22" spans="15:20" ht="12.75">
      <c r="O22" s="75">
        <v>1.04</v>
      </c>
      <c r="Q22" s="133" t="s">
        <v>10</v>
      </c>
      <c r="R22" s="131"/>
      <c r="T22" s="145">
        <v>0</v>
      </c>
    </row>
    <row r="23" spans="17:20" ht="13.5" thickBot="1">
      <c r="Q23" s="134" t="s">
        <v>31</v>
      </c>
      <c r="R23" s="132"/>
      <c r="T23" s="142">
        <v>-0.05</v>
      </c>
    </row>
    <row r="24" ht="13.5" thickBot="1">
      <c r="T24" s="143">
        <v>-0.1</v>
      </c>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Q48" s="92"/>
    </row>
    <row r="49" ht="12.75"/>
    <row r="50" ht="12.75"/>
    <row r="51" ht="13.5" thickBot="1"/>
    <row r="52" spans="3:12" ht="13.5" thickBot="1">
      <c r="C52" s="255" t="s">
        <v>68</v>
      </c>
      <c r="D52" s="256"/>
      <c r="E52" s="257"/>
      <c r="F52" s="126">
        <v>1</v>
      </c>
      <c r="G52" s="121">
        <v>2</v>
      </c>
      <c r="H52" s="121">
        <v>3</v>
      </c>
      <c r="I52" s="121">
        <v>4</v>
      </c>
      <c r="J52" s="121">
        <v>5</v>
      </c>
      <c r="K52" s="121">
        <v>6</v>
      </c>
      <c r="L52" s="122">
        <v>7</v>
      </c>
    </row>
    <row r="53" spans="3:12" ht="12.75">
      <c r="C53" s="258" t="s">
        <v>75</v>
      </c>
      <c r="D53" s="259"/>
      <c r="E53" s="260"/>
      <c r="F53" s="123">
        <f aca="true" t="shared" si="0" ref="F53:L53">IF(F54="","",F54*($D$7/$C$7*$E$7*F7*60)/(3.6*$F$4))</f>
        <v>8000</v>
      </c>
      <c r="G53" s="124">
        <f t="shared" si="0"/>
        <v>8000</v>
      </c>
      <c r="H53" s="124">
        <f t="shared" si="0"/>
        <v>7999.999999999999</v>
      </c>
      <c r="I53" s="124">
        <f t="shared" si="0"/>
        <v>8000.000000000001</v>
      </c>
      <c r="J53" s="124">
        <f t="shared" si="0"/>
        <v>8000.000000000001</v>
      </c>
      <c r="K53" s="124">
        <f t="shared" si="0"/>
        <v>8000</v>
      </c>
      <c r="L53" s="125">
        <f t="shared" si="0"/>
      </c>
    </row>
    <row r="54" spans="3:12" ht="13.5" thickBot="1">
      <c r="C54" s="261" t="s">
        <v>67</v>
      </c>
      <c r="D54" s="262"/>
      <c r="E54" s="263"/>
      <c r="F54" s="105">
        <f>IF(R17="",E99,R17)</f>
        <v>63.9500194501596</v>
      </c>
      <c r="G54" s="106">
        <f>IF(R18="",E100,R18)</f>
        <v>106.92908711069015</v>
      </c>
      <c r="H54" s="106">
        <f>IF(R19="",E101,R19)</f>
        <v>161.96329072248332</v>
      </c>
      <c r="I54" s="106">
        <f>IF(R20="",E102,R20)</f>
        <v>220.48673100801363</v>
      </c>
      <c r="J54" s="106">
        <f>IF(R21="",E103,R21)</f>
        <v>270.3167322158247</v>
      </c>
      <c r="K54" s="106">
        <f>IF(R22="",E104,R22)</f>
        <v>326.46948335244525</v>
      </c>
      <c r="L54" s="95">
        <f>IF(R23="",E105,R23)</f>
      </c>
    </row>
    <row r="55" ht="12.75"/>
    <row r="56" ht="13.5" thickBot="1"/>
    <row r="57" spans="2:12" ht="33.75" customHeight="1" thickBot="1">
      <c r="B57" s="98" t="s">
        <v>53</v>
      </c>
      <c r="C57" s="99" t="s">
        <v>63</v>
      </c>
      <c r="D57" s="239" t="s">
        <v>54</v>
      </c>
      <c r="E57" s="240"/>
      <c r="F57" s="98" t="s">
        <v>56</v>
      </c>
      <c r="G57" s="99" t="s">
        <v>57</v>
      </c>
      <c r="H57" s="99" t="s">
        <v>58</v>
      </c>
      <c r="I57" s="99" t="s">
        <v>59</v>
      </c>
      <c r="J57" s="99" t="s">
        <v>60</v>
      </c>
      <c r="K57" s="99" t="s">
        <v>61</v>
      </c>
      <c r="L57" s="100" t="s">
        <v>62</v>
      </c>
    </row>
    <row r="58" spans="2:12" ht="12.75">
      <c r="B58" s="127">
        <v>87</v>
      </c>
      <c r="C58" s="96">
        <v>30</v>
      </c>
      <c r="D58" s="241">
        <f aca="true" t="shared" si="1" ref="D58:D73">C58/B$58*30000</f>
        <v>10344.827586206897</v>
      </c>
      <c r="E58" s="242"/>
      <c r="F58" s="101">
        <f aca="true" t="shared" si="2" ref="F58:L67">IF(F$7="","",$F$4*3.6/($D$7/$C$7*$E$7)/F$7*$D58/60)</f>
        <v>82.69399066830984</v>
      </c>
      <c r="G58" s="102">
        <f t="shared" si="2"/>
        <v>138.27037126382345</v>
      </c>
      <c r="H58" s="102">
        <f t="shared" si="2"/>
        <v>209.43528972734913</v>
      </c>
      <c r="I58" s="102">
        <f t="shared" si="2"/>
        <v>285.11215216553484</v>
      </c>
      <c r="J58" s="102">
        <f t="shared" si="2"/>
        <v>349.54749855494566</v>
      </c>
      <c r="K58" s="102">
        <f t="shared" si="2"/>
        <v>422.1588146798861</v>
      </c>
      <c r="L58" s="97">
        <f t="shared" si="2"/>
      </c>
    </row>
    <row r="59" spans="2:12" ht="12.75">
      <c r="B59" s="128"/>
      <c r="C59" s="75">
        <v>29</v>
      </c>
      <c r="D59" s="205">
        <f t="shared" si="1"/>
        <v>10000</v>
      </c>
      <c r="E59" s="206"/>
      <c r="F59" s="103">
        <f t="shared" si="2"/>
        <v>79.93752431269951</v>
      </c>
      <c r="G59" s="104">
        <f t="shared" si="2"/>
        <v>133.66135888836268</v>
      </c>
      <c r="H59" s="104">
        <f t="shared" si="2"/>
        <v>202.45411340310415</v>
      </c>
      <c r="I59" s="104">
        <f t="shared" si="2"/>
        <v>275.608413760017</v>
      </c>
      <c r="J59" s="104">
        <f t="shared" si="2"/>
        <v>337.89591526978086</v>
      </c>
      <c r="K59" s="104">
        <f t="shared" si="2"/>
        <v>408.0868541905566</v>
      </c>
      <c r="L59" s="93">
        <f t="shared" si="2"/>
      </c>
    </row>
    <row r="60" spans="2:12" ht="12.75">
      <c r="B60" s="128"/>
      <c r="C60" s="75">
        <v>28</v>
      </c>
      <c r="D60" s="205">
        <f t="shared" si="1"/>
        <v>9655.172413793103</v>
      </c>
      <c r="E60" s="206"/>
      <c r="F60" s="103">
        <f t="shared" si="2"/>
        <v>77.18105795708918</v>
      </c>
      <c r="G60" s="104">
        <f t="shared" si="2"/>
        <v>129.0523465129019</v>
      </c>
      <c r="H60" s="104">
        <f t="shared" si="2"/>
        <v>195.47293707885916</v>
      </c>
      <c r="I60" s="104">
        <f t="shared" si="2"/>
        <v>266.10467535449914</v>
      </c>
      <c r="J60" s="104">
        <f t="shared" si="2"/>
        <v>326.244331984616</v>
      </c>
      <c r="K60" s="104">
        <f t="shared" si="2"/>
        <v>394.0148937012271</v>
      </c>
      <c r="L60" s="93">
        <f t="shared" si="2"/>
      </c>
    </row>
    <row r="61" spans="2:12" ht="12.75">
      <c r="B61" s="128"/>
      <c r="C61" s="75">
        <v>27</v>
      </c>
      <c r="D61" s="205">
        <f t="shared" si="1"/>
        <v>9310.344827586207</v>
      </c>
      <c r="E61" s="206"/>
      <c r="F61" s="103">
        <f t="shared" si="2"/>
        <v>74.42459160147885</v>
      </c>
      <c r="G61" s="104">
        <f t="shared" si="2"/>
        <v>124.4433341374411</v>
      </c>
      <c r="H61" s="104">
        <f t="shared" si="2"/>
        <v>188.49176075461418</v>
      </c>
      <c r="I61" s="104">
        <f t="shared" si="2"/>
        <v>256.6009369489813</v>
      </c>
      <c r="J61" s="104">
        <f t="shared" si="2"/>
        <v>314.59274869945114</v>
      </c>
      <c r="K61" s="104">
        <f t="shared" si="2"/>
        <v>379.94293321189747</v>
      </c>
      <c r="L61" s="93">
        <f t="shared" si="2"/>
      </c>
    </row>
    <row r="62" spans="2:12" ht="12.75">
      <c r="B62" s="128"/>
      <c r="C62" s="75">
        <v>26</v>
      </c>
      <c r="D62" s="205">
        <f t="shared" si="1"/>
        <v>8965.517241379312</v>
      </c>
      <c r="E62" s="206"/>
      <c r="F62" s="103">
        <f t="shared" si="2"/>
        <v>71.66812524586854</v>
      </c>
      <c r="G62" s="104">
        <f t="shared" si="2"/>
        <v>119.83432176198035</v>
      </c>
      <c r="H62" s="104">
        <f t="shared" si="2"/>
        <v>181.51058443036928</v>
      </c>
      <c r="I62" s="104">
        <f t="shared" si="2"/>
        <v>247.09719854346355</v>
      </c>
      <c r="J62" s="104">
        <f t="shared" si="2"/>
        <v>302.9411654142863</v>
      </c>
      <c r="K62" s="104">
        <f t="shared" si="2"/>
        <v>365.870972722568</v>
      </c>
      <c r="L62" s="93">
        <f t="shared" si="2"/>
      </c>
    </row>
    <row r="63" spans="2:12" ht="12.75">
      <c r="B63" s="128"/>
      <c r="C63" s="107">
        <v>25</v>
      </c>
      <c r="D63" s="249">
        <f t="shared" si="1"/>
        <v>8620.689655172413</v>
      </c>
      <c r="E63" s="250"/>
      <c r="F63" s="109">
        <f t="shared" si="2"/>
        <v>68.9116588902582</v>
      </c>
      <c r="G63" s="110">
        <f t="shared" si="2"/>
        <v>115.22530938651953</v>
      </c>
      <c r="H63" s="110">
        <f t="shared" si="2"/>
        <v>174.52940810612427</v>
      </c>
      <c r="I63" s="110">
        <f t="shared" si="2"/>
        <v>237.59346013794567</v>
      </c>
      <c r="J63" s="110">
        <f t="shared" si="2"/>
        <v>291.28958212912136</v>
      </c>
      <c r="K63" s="110">
        <f t="shared" si="2"/>
        <v>351.79901223323844</v>
      </c>
      <c r="L63" s="108">
        <f t="shared" si="2"/>
      </c>
    </row>
    <row r="64" spans="2:12" ht="12.75">
      <c r="B64" s="128"/>
      <c r="C64" s="75">
        <v>24</v>
      </c>
      <c r="D64" s="205">
        <f t="shared" si="1"/>
        <v>8275.862068965516</v>
      </c>
      <c r="E64" s="206"/>
      <c r="F64" s="103">
        <f t="shared" si="2"/>
        <v>66.15519253464785</v>
      </c>
      <c r="G64" s="104">
        <f t="shared" si="2"/>
        <v>110.61629701105875</v>
      </c>
      <c r="H64" s="104">
        <f t="shared" si="2"/>
        <v>167.54823178187928</v>
      </c>
      <c r="I64" s="104">
        <f t="shared" si="2"/>
        <v>228.08972173242782</v>
      </c>
      <c r="J64" s="104">
        <f t="shared" si="2"/>
        <v>279.63799884395655</v>
      </c>
      <c r="K64" s="104">
        <f t="shared" si="2"/>
        <v>337.7270517439089</v>
      </c>
      <c r="L64" s="93">
        <f t="shared" si="2"/>
      </c>
    </row>
    <row r="65" spans="2:12" ht="12.75">
      <c r="B65" s="128"/>
      <c r="C65" s="75">
        <v>23</v>
      </c>
      <c r="D65" s="205">
        <f t="shared" si="1"/>
        <v>7931.034482758621</v>
      </c>
      <c r="E65" s="206"/>
      <c r="F65" s="103">
        <f t="shared" si="2"/>
        <v>63.398726179037546</v>
      </c>
      <c r="G65" s="104">
        <f t="shared" si="2"/>
        <v>106.00728463559798</v>
      </c>
      <c r="H65" s="104">
        <f t="shared" si="2"/>
        <v>160.56705545763435</v>
      </c>
      <c r="I65" s="104">
        <f t="shared" si="2"/>
        <v>218.58598332691005</v>
      </c>
      <c r="J65" s="104">
        <f t="shared" si="2"/>
        <v>267.98641555879175</v>
      </c>
      <c r="K65" s="104">
        <f t="shared" si="2"/>
        <v>323.65509125457936</v>
      </c>
      <c r="L65" s="93">
        <f t="shared" si="2"/>
      </c>
    </row>
    <row r="66" spans="2:12" ht="12.75">
      <c r="B66" s="128"/>
      <c r="C66" s="111">
        <v>22</v>
      </c>
      <c r="D66" s="207">
        <f t="shared" si="1"/>
        <v>7586.206896551725</v>
      </c>
      <c r="E66" s="208"/>
      <c r="F66" s="113">
        <f t="shared" si="2"/>
        <v>60.64225982342722</v>
      </c>
      <c r="G66" s="114">
        <f t="shared" si="2"/>
        <v>101.3982722601372</v>
      </c>
      <c r="H66" s="114">
        <f t="shared" si="2"/>
        <v>153.58587913338937</v>
      </c>
      <c r="I66" s="114">
        <f t="shared" si="2"/>
        <v>209.08224492139223</v>
      </c>
      <c r="J66" s="114">
        <f t="shared" si="2"/>
        <v>256.33483227362683</v>
      </c>
      <c r="K66" s="114">
        <f t="shared" si="2"/>
        <v>309.58313076524985</v>
      </c>
      <c r="L66" s="112">
        <f t="shared" si="2"/>
      </c>
    </row>
    <row r="67" spans="2:12" ht="12.75">
      <c r="B67" s="128"/>
      <c r="C67" s="75">
        <v>21</v>
      </c>
      <c r="D67" s="205">
        <f t="shared" si="1"/>
        <v>7241.379310344828</v>
      </c>
      <c r="E67" s="206"/>
      <c r="F67" s="103">
        <f t="shared" si="2"/>
        <v>57.88579346781689</v>
      </c>
      <c r="G67" s="104">
        <f t="shared" si="2"/>
        <v>96.78925988467641</v>
      </c>
      <c r="H67" s="104">
        <f t="shared" si="2"/>
        <v>146.60470280914438</v>
      </c>
      <c r="I67" s="104">
        <f t="shared" si="2"/>
        <v>199.57850651587438</v>
      </c>
      <c r="J67" s="104">
        <f t="shared" si="2"/>
        <v>244.683248988462</v>
      </c>
      <c r="K67" s="104">
        <f t="shared" si="2"/>
        <v>295.51117027592034</v>
      </c>
      <c r="L67" s="93">
        <f t="shared" si="2"/>
      </c>
    </row>
    <row r="68" spans="2:12" ht="12.75">
      <c r="B68" s="128"/>
      <c r="C68" s="115">
        <v>20</v>
      </c>
      <c r="D68" s="253">
        <f t="shared" si="1"/>
        <v>6896.551724137931</v>
      </c>
      <c r="E68" s="254"/>
      <c r="F68" s="117">
        <f aca="true" t="shared" si="3" ref="F68:L73">IF(F$7="","",$F$4*3.6/($D$7/$C$7*$E$7)/F$7*$D68/60)</f>
        <v>55.12932711220655</v>
      </c>
      <c r="G68" s="118">
        <f t="shared" si="3"/>
        <v>92.18024750921563</v>
      </c>
      <c r="H68" s="118">
        <f t="shared" si="3"/>
        <v>139.6235264848994</v>
      </c>
      <c r="I68" s="118">
        <f t="shared" si="3"/>
        <v>190.07476811035656</v>
      </c>
      <c r="J68" s="118">
        <f t="shared" si="3"/>
        <v>233.03166570329714</v>
      </c>
      <c r="K68" s="118">
        <f t="shared" si="3"/>
        <v>281.43920978659077</v>
      </c>
      <c r="L68" s="116">
        <f t="shared" si="3"/>
      </c>
    </row>
    <row r="69" spans="2:12" ht="12.75">
      <c r="B69" s="128"/>
      <c r="C69" s="75">
        <v>19</v>
      </c>
      <c r="D69" s="205">
        <f t="shared" si="1"/>
        <v>6551.724137931034</v>
      </c>
      <c r="E69" s="206"/>
      <c r="F69" s="103">
        <f t="shared" si="3"/>
        <v>52.372860756596225</v>
      </c>
      <c r="G69" s="104">
        <f t="shared" si="3"/>
        <v>87.57123513375485</v>
      </c>
      <c r="H69" s="104">
        <f t="shared" si="3"/>
        <v>132.64235016065444</v>
      </c>
      <c r="I69" s="104">
        <f t="shared" si="3"/>
        <v>180.5710297048387</v>
      </c>
      <c r="J69" s="104">
        <f t="shared" si="3"/>
        <v>221.38008241813228</v>
      </c>
      <c r="K69" s="104">
        <f t="shared" si="3"/>
        <v>267.3672492972612</v>
      </c>
      <c r="L69" s="93">
        <f t="shared" si="3"/>
      </c>
    </row>
    <row r="70" spans="2:12" ht="12.75">
      <c r="B70" s="128"/>
      <c r="C70" s="75">
        <v>18</v>
      </c>
      <c r="D70" s="205">
        <f t="shared" si="1"/>
        <v>6206.896551724138</v>
      </c>
      <c r="E70" s="206"/>
      <c r="F70" s="103">
        <f t="shared" si="3"/>
        <v>49.6163944009859</v>
      </c>
      <c r="G70" s="104">
        <f t="shared" si="3"/>
        <v>82.96222275829406</v>
      </c>
      <c r="H70" s="104">
        <f t="shared" si="3"/>
        <v>125.66117383640947</v>
      </c>
      <c r="I70" s="104">
        <f t="shared" si="3"/>
        <v>171.06729129932089</v>
      </c>
      <c r="J70" s="104">
        <f t="shared" si="3"/>
        <v>209.7284991329674</v>
      </c>
      <c r="K70" s="104">
        <f t="shared" si="3"/>
        <v>253.29528880793168</v>
      </c>
      <c r="L70" s="93">
        <f t="shared" si="3"/>
      </c>
    </row>
    <row r="71" spans="2:12" ht="12.75">
      <c r="B71" s="128"/>
      <c r="C71" s="75">
        <v>17</v>
      </c>
      <c r="D71" s="205">
        <f t="shared" si="1"/>
        <v>5862.068965517242</v>
      </c>
      <c r="E71" s="206"/>
      <c r="F71" s="103">
        <f t="shared" si="3"/>
        <v>46.859928045375575</v>
      </c>
      <c r="G71" s="104">
        <f t="shared" si="3"/>
        <v>78.3532103828333</v>
      </c>
      <c r="H71" s="104">
        <f t="shared" si="3"/>
        <v>118.67999751216452</v>
      </c>
      <c r="I71" s="104">
        <f t="shared" si="3"/>
        <v>161.5635528938031</v>
      </c>
      <c r="J71" s="104">
        <f t="shared" si="3"/>
        <v>198.07691584780255</v>
      </c>
      <c r="K71" s="104">
        <f t="shared" si="3"/>
        <v>239.22332831860214</v>
      </c>
      <c r="L71" s="93">
        <f t="shared" si="3"/>
      </c>
    </row>
    <row r="72" spans="2:12" ht="12.75">
      <c r="B72" s="128"/>
      <c r="C72" s="75">
        <v>16</v>
      </c>
      <c r="D72" s="205">
        <f t="shared" si="1"/>
        <v>5517.241379310345</v>
      </c>
      <c r="E72" s="206"/>
      <c r="F72" s="103">
        <f t="shared" si="3"/>
        <v>44.10346168976525</v>
      </c>
      <c r="G72" s="104">
        <f t="shared" si="3"/>
        <v>73.7441980073725</v>
      </c>
      <c r="H72" s="104">
        <f t="shared" si="3"/>
        <v>111.69882118791953</v>
      </c>
      <c r="I72" s="104">
        <f t="shared" si="3"/>
        <v>152.05981448828524</v>
      </c>
      <c r="J72" s="104">
        <f t="shared" si="3"/>
        <v>186.42533256263772</v>
      </c>
      <c r="K72" s="104">
        <f t="shared" si="3"/>
        <v>225.15136782927263</v>
      </c>
      <c r="L72" s="93">
        <f t="shared" si="3"/>
      </c>
    </row>
    <row r="73" spans="2:12" ht="13.5" thickBot="1">
      <c r="B73" s="129"/>
      <c r="C73" s="94">
        <v>15</v>
      </c>
      <c r="D73" s="264">
        <f t="shared" si="1"/>
        <v>5172.413793103448</v>
      </c>
      <c r="E73" s="265"/>
      <c r="F73" s="105">
        <f t="shared" si="3"/>
        <v>41.34699533415492</v>
      </c>
      <c r="G73" s="106">
        <f t="shared" si="3"/>
        <v>69.13518563191172</v>
      </c>
      <c r="H73" s="106">
        <f t="shared" si="3"/>
        <v>104.71764486367456</v>
      </c>
      <c r="I73" s="106">
        <f t="shared" si="3"/>
        <v>142.55607608276742</v>
      </c>
      <c r="J73" s="106">
        <f t="shared" si="3"/>
        <v>174.77374927747283</v>
      </c>
      <c r="K73" s="106">
        <f t="shared" si="3"/>
        <v>211.07940733994306</v>
      </c>
      <c r="L73" s="95">
        <f t="shared" si="3"/>
      </c>
    </row>
    <row r="74" ht="12.75"/>
    <row r="75" ht="12.75"/>
    <row r="76" ht="12.75"/>
    <row r="77" ht="12.75"/>
    <row r="78" ht="12.75"/>
    <row r="79" ht="12.75"/>
    <row r="80" ht="12.75"/>
    <row r="81" ht="12.75"/>
    <row r="82" ht="13.5" thickBot="1"/>
    <row r="83" spans="1:13" ht="12.75">
      <c r="A83" s="251" t="s">
        <v>11</v>
      </c>
      <c r="B83" s="252"/>
      <c r="C83" s="14">
        <f>IF('Leistung u. Drehmoment'!C1="",0,IF(($F$7&lt;=0),0,(3.6*$F$4*'Leistung u. Drehmoment'!C$1/($D$7/$C$7*$E$7*$F$7*60))))</f>
        <v>7.99375243126995</v>
      </c>
      <c r="D83" s="14">
        <f>IF('Leistung u. Drehmoment'!D1="",C83,IF(($F$7&lt;=0),0,(3.6*$F$4*'Leistung u. Drehmoment'!D$1/($D$7/$C$7*$E$7*$F$7*60))))</f>
        <v>15.9875048625399</v>
      </c>
      <c r="E83" s="14">
        <f>IF('Leistung u. Drehmoment'!E1="",D83,IF(($F$7&lt;=0),0,(3.6*$F$4*'Leistung u. Drehmoment'!E$1/($D$7/$C$7*$E$7*$F$7*60))))</f>
        <v>23.98125729380985</v>
      </c>
      <c r="F83" s="14">
        <f>IF('Leistung u. Drehmoment'!F1="",E83,IF(($F$7&lt;=0),0,(3.6*$F$4*'Leistung u. Drehmoment'!F$1/($D$7/$C$7*$E$7*$F$7*60))))</f>
        <v>31.9750097250798</v>
      </c>
      <c r="G83" s="14">
        <f>IF('Leistung u. Drehmoment'!G1="",F83,IF(($F$7&lt;=0),0,(3.6*$F$4*'Leistung u. Drehmoment'!G$1/($D$7/$C$7*$E$7*$F$7*60))))</f>
        <v>39.16938691322276</v>
      </c>
      <c r="H83" s="14">
        <f>IF('Leistung u. Drehmoment'!H1="",G83,IF(($F$7&lt;=0),0,(3.6*$F$4*'Leistung u. Drehmoment'!H$1/($D$7/$C$7*$E$7*$F$7*60))))</f>
        <v>47.9625145876197</v>
      </c>
      <c r="I83" s="14">
        <f>IF('Leistung u. Drehmoment'!I1="",H83,IF(($F$7&lt;=0),0,(3.6*$F$4*'Leistung u. Drehmoment'!I$1/($D$7/$C$7*$E$7*$F$7*60))))</f>
        <v>55.95626701888965</v>
      </c>
      <c r="J83" s="14">
        <f>IF('Leistung u. Drehmoment'!J1="",I83,IF(($F$7&lt;=0),0,(3.6*$F$4*'Leistung u. Drehmoment'!J$1/($D$7/$C$7*$E$7*$F$7*60))))</f>
        <v>63.150644207032606</v>
      </c>
      <c r="K83" s="14">
        <f>IF('Leistung u. Drehmoment'!K1="",J83,IF(($F$7&lt;=0),0,(3.6*$F$4*'Leistung u. Drehmoment'!K$1/($D$7/$C$7*$E$7*$F$7*60))))</f>
        <v>63.9500194501596</v>
      </c>
      <c r="L83" s="14">
        <f>IF('Leistung u. Drehmoment'!L1="",K83,IF(($F$7&lt;=0),0,(3.6*$F$4*'Leistung u. Drehmoment'!L$1/($D$7/$C$7*$E$7*$F$7*60))))</f>
        <v>63.9500194501596</v>
      </c>
      <c r="M83" s="15">
        <f>IF('Leistung u. Drehmoment'!M1="",L83,IF(($F$7&lt;=0),0,(3.6*$F$4*'Leistung u. Drehmoment'!M$1/($D$7/$C$7*$E$7*$F$7*60))))</f>
        <v>63.9500194501596</v>
      </c>
    </row>
    <row r="84" spans="1:13" ht="12.75">
      <c r="A84" s="195" t="s">
        <v>0</v>
      </c>
      <c r="B84" s="188"/>
      <c r="C84" s="16">
        <f>IF('Leistung u. Drehmoment'!C1="",0,IF(($F$7=0),0,('Leistung u. Drehmoment'!C$4*$D$7/$C$7*$E$7*$F$7*$C$8*$E$8*$F$8/($F$4/2/PI()))))</f>
        <v>10222.835868544791</v>
      </c>
      <c r="D84" s="16">
        <f>IF('Leistung u. Drehmoment'!D1="",C84,IF(($F$7=0),0,('Leistung u. Drehmoment'!D$4*$D$7/$C$7*$E$7*$F$7*$C$8*$E$8*$F$8/($F$4/2/PI()))))</f>
        <v>11939.679427619769</v>
      </c>
      <c r="E84" s="16">
        <f>IF('Leistung u. Drehmoment'!E1="",D84,IF(($F$7=0),0,('Leistung u. Drehmoment'!E$4*$D$7/$C$7*$E$7*$F$7*$C$8*$E$8*$F$8/($F$4/2/PI()))))</f>
        <v>13380.675220608362</v>
      </c>
      <c r="F84" s="16">
        <f>IF('Leistung u. Drehmoment'!F1="",E84,IF(($F$7=0),0,('Leistung u. Drehmoment'!F$4*$D$7/$C$7*$E$7*$F$7*$C$8*$E$8*$F$8/($F$4/2/PI()))))</f>
        <v>14615.814471741442</v>
      </c>
      <c r="G84" s="16">
        <f>IF('Leistung u. Drehmoment'!G1="",F84,IF(($F$7=0),0,('Leistung u. Drehmoment'!G$4*$D$7/$C$7*$E$7*$F$7*$C$8*$E$8*$F$8/($F$4/2/PI()))))</f>
        <v>15233.384097307982</v>
      </c>
      <c r="H84" s="16">
        <f>IF('Leistung u. Drehmoment'!H1="",G84,IF(($F$7=0),0,('Leistung u. Drehmoment'!H$4*$D$7/$C$7*$E$7*$F$7*$C$8*$E$8*$F$8/($F$4/2/PI()))))</f>
        <v>14821.671013596957</v>
      </c>
      <c r="I84" s="16">
        <f>IF('Leistung u. Drehmoment'!I1="",H84,IF(($F$7=0),0,('Leistung u. Drehmoment'!I$4*$D$7/$C$7*$E$7*$F$7*$C$8*$E$8*$F$8/($F$4/2/PI()))))</f>
        <v>14204.101388030416</v>
      </c>
      <c r="J84" s="16">
        <f>IF('Leistung u. Drehmoment'!J1="",I84,IF(($F$7=0),0,('Leistung u. Drehmoment'!J$4*$D$7/$C$7*$E$7*$F$7*$C$8*$E$8*$F$8/($F$4/2/PI()))))</f>
        <v>13189.15046331241</v>
      </c>
      <c r="K84" s="16">
        <f>IF('Leistung u. Drehmoment'!K1="",J84,IF(($F$7=0),0,('Leistung u. Drehmoment'!K$4*$D$7/$C$7*$E$7*$F$7*$C$8*$E$8*$F$8/($F$4/2/PI()))))</f>
        <v>12975.137833152998</v>
      </c>
      <c r="L84" s="16">
        <f>IF('Leistung u. Drehmoment'!L1="",K84,IF(($F$7=0),0,('Leistung u. Drehmoment'!L$4*$D$7/$C$7*$E$7*$F$7*$C$8*$E$8*$F$8/($F$4/2/PI()))))</f>
        <v>12975.137833152998</v>
      </c>
      <c r="M84" s="17">
        <f>IF('Leistung u. Drehmoment'!M1="",L84,IF(($F$7=0),0,('Leistung u. Drehmoment'!M$4*$D$7/$C$7*$E$7*$F$7*$C$8*$E$8*$F$8/($F$4/2/PI()))))</f>
        <v>12975.137833152998</v>
      </c>
    </row>
    <row r="85" spans="1:13" ht="12.75">
      <c r="A85" s="195" t="s">
        <v>12</v>
      </c>
      <c r="B85" s="188"/>
      <c r="C85" s="16">
        <f>IF('Leistung u. Drehmoment'!C1="",0,IF(($G$7&lt;=0),0,(3.6*$F$4*'Leistung u. Drehmoment'!C$1/($D$7/$C$7*$E$7*$G$7*60))))</f>
        <v>13.366135888836268</v>
      </c>
      <c r="D85" s="16">
        <f>IF('Leistung u. Drehmoment'!D1="",C85,IF(($G$7&lt;=0),0,(3.6*$F$4*'Leistung u. Drehmoment'!D$1/($D$7/$C$7*$E$7*$G$7*60))))</f>
        <v>26.732271777672537</v>
      </c>
      <c r="E85" s="16">
        <f>IF('Leistung u. Drehmoment'!E1="",D85,IF(($G$7&lt;=0),0,(3.6*$F$4*'Leistung u. Drehmoment'!E$1/($D$7/$C$7*$E$7*$G$7*60))))</f>
        <v>40.098407666508805</v>
      </c>
      <c r="F85" s="16">
        <f>IF('Leistung u. Drehmoment'!F1="",E85,IF(($G$7&lt;=0),0,(3.6*$F$4*'Leistung u. Drehmoment'!F$1/($D$7/$C$7*$E$7*$G$7*60))))</f>
        <v>53.464543555345074</v>
      </c>
      <c r="G85" s="16">
        <f>IF('Leistung u. Drehmoment'!G1="",F85,IF(($G$7&lt;=0),0,(3.6*$F$4*'Leistung u. Drehmoment'!G$1/($D$7/$C$7*$E$7*$G$7*60))))</f>
        <v>65.49406585529772</v>
      </c>
      <c r="H85" s="16">
        <f>IF('Leistung u. Drehmoment'!H1="",G85,IF(($G$7&lt;=0),0,(3.6*$F$4*'Leistung u. Drehmoment'!H$1/($D$7/$C$7*$E$7*$G$7*60))))</f>
        <v>80.19681533301761</v>
      </c>
      <c r="I85" s="16">
        <f>IF('Leistung u. Drehmoment'!I1="",H85,IF(($G$7&lt;=0),0,(3.6*$F$4*'Leistung u. Drehmoment'!I$1/($D$7/$C$7*$E$7*$G$7*60))))</f>
        <v>93.56295122185388</v>
      </c>
      <c r="J85" s="16">
        <f>IF('Leistung u. Drehmoment'!J1="",I85,IF(($G$7&lt;=0),0,(3.6*$F$4*'Leistung u. Drehmoment'!J$1/($D$7/$C$7*$E$7*$G$7*60))))</f>
        <v>105.59247352180653</v>
      </c>
      <c r="K85" s="16">
        <f>IF('Leistung u. Drehmoment'!K1="",J85,IF(($G$7&lt;=0),0,(3.6*$F$4*'Leistung u. Drehmoment'!K$1/($D$7/$C$7*$E$7*$G$7*60))))</f>
        <v>106.92908711069015</v>
      </c>
      <c r="L85" s="16">
        <f>IF('Leistung u. Drehmoment'!L1="",K85,IF(($G$7&lt;=0),0,(3.6*$F$4*'Leistung u. Drehmoment'!L$1/($D$7/$C$7*$E$7*$G$7*60))))</f>
        <v>106.92908711069015</v>
      </c>
      <c r="M85" s="17">
        <f>IF('Leistung u. Drehmoment'!M1="",L85,IF(($G$7&lt;=0),0,(3.6*$F$4*'Leistung u. Drehmoment'!M$1/($D$7/$C$7*$E$7*$G$7*60))))</f>
        <v>106.92908711069015</v>
      </c>
    </row>
    <row r="86" spans="1:13" ht="12.75">
      <c r="A86" s="195" t="s">
        <v>1</v>
      </c>
      <c r="B86" s="188"/>
      <c r="C86" s="16">
        <f>IF('Leistung u. Drehmoment'!C1="",0,IF(($G$7=0),0,('Leistung u. Drehmoment'!C$4*$D$7/$C$7*$E$7*$G$7*$C$8*$E$8*$G$8/($F$4/2/PI()))))</f>
        <v>6181.8020289856</v>
      </c>
      <c r="D86" s="16">
        <f>IF('Leistung u. Drehmoment'!D1="",C86,IF(($G$7=0),0,('Leistung u. Drehmoment'!D$4*$D$7/$C$7*$E$7*$G$7*$C$8*$E$8*$G$8/($F$4/2/PI()))))</f>
        <v>7219.986260192604</v>
      </c>
      <c r="E86" s="16">
        <f>IF('Leistung u. Drehmoment'!E1="",D86,IF(($G$7=0),0,('Leistung u. Drehmoment'!E$4*$D$7/$C$7*$E$7*$G$7*$C$8*$E$8*$G$8/($F$4/2/PI()))))</f>
        <v>8091.363912284814</v>
      </c>
      <c r="F86" s="16">
        <f>IF('Leistung u. Drehmoment'!F1="",E86,IF(($G$7=0),0,('Leistung u. Drehmoment'!F$4*$D$7/$C$7*$E$7*$G$7*$C$8*$E$8*$G$8/($F$4/2/PI()))))</f>
        <v>8838.259042649568</v>
      </c>
      <c r="G86" s="16">
        <f>IF('Leistung u. Drehmoment'!G1="",F86,IF(($G$7=0),0,('Leistung u. Drehmoment'!G$4*$D$7/$C$7*$E$7*$G$7*$C$8*$E$8*$G$8/($F$4/2/PI()))))</f>
        <v>9211.706607831944</v>
      </c>
      <c r="H86" s="16">
        <f>IF('Leistung u. Drehmoment'!H1="",G86,IF(($G$7=0),0,('Leistung u. Drehmoment'!H$4*$D$7/$C$7*$E$7*$G$7*$C$8*$E$8*$G$8/($F$4/2/PI()))))</f>
        <v>8962.741564377027</v>
      </c>
      <c r="I86" s="16">
        <f>IF('Leistung u. Drehmoment'!I1="",H86,IF(($G$7=0),0,('Leistung u. Drehmoment'!I$4*$D$7/$C$7*$E$7*$G$7*$C$8*$E$8*$G$8/($F$4/2/PI()))))</f>
        <v>8589.293999194651</v>
      </c>
      <c r="J86" s="16">
        <f>IF('Leistung u. Drehmoment'!J1="",I86,IF(($G$7=0),0,('Leistung u. Drehmoment'!J$4*$D$7/$C$7*$E$7*$G$7*$C$8*$E$8*$G$8/($F$4/2/PI()))))</f>
        <v>7975.547895234586</v>
      </c>
      <c r="K86" s="16">
        <f>IF('Leistung u. Drehmoment'!K1="",J86,IF(($G$7=0),0,('Leistung u. Drehmoment'!K$4*$D$7/$C$7*$E$7*$G$7*$C$8*$E$8*$G$8/($F$4/2/PI()))))</f>
        <v>7846.133344481721</v>
      </c>
      <c r="L86" s="16">
        <f>IF('Leistung u. Drehmoment'!L1="",K86,IF(($G$7=0),0,('Leistung u. Drehmoment'!L$4*$D$7/$C$7*$E$7*$G$7*$C$8*$E$8*$G$8/($F$4/2/PI()))))</f>
        <v>7846.133344481721</v>
      </c>
      <c r="M86" s="17">
        <f>IF('Leistung u. Drehmoment'!M1="",L86,IF(($G$7=0),0,('Leistung u. Drehmoment'!M$4*$D$7/$C$7*$E$7*$G$7*$C$8*$E$8*$G$8/($F$4/2/PI()))))</f>
        <v>7846.133344481721</v>
      </c>
    </row>
    <row r="87" spans="1:13" ht="12.75">
      <c r="A87" s="195" t="s">
        <v>13</v>
      </c>
      <c r="B87" s="188"/>
      <c r="C87" s="16">
        <f>IF('Leistung u. Drehmoment'!C1="",0,IF(($H$7&lt;=0),0,(3.6*$F$4*'Leistung u. Drehmoment'!C$1/($D$7/$C$7*$E$7*$H$7*60))))</f>
        <v>20.245411340310415</v>
      </c>
      <c r="D87" s="16">
        <f>IF('Leistung u. Drehmoment'!D1="",C87,IF(($H$7&lt;=0),0,(3.6*$F$4*'Leistung u. Drehmoment'!D$1/($D$7/$C$7*$E$7*$H$7*60))))</f>
        <v>40.49082268062083</v>
      </c>
      <c r="E87" s="16">
        <f>IF('Leistung u. Drehmoment'!E1="",D87,IF(($H$7&lt;=0),0,(3.6*$F$4*'Leistung u. Drehmoment'!E$1/($D$7/$C$7*$E$7*$H$7*60))))</f>
        <v>60.73623402093125</v>
      </c>
      <c r="F87" s="16">
        <f>IF('Leistung u. Drehmoment'!F1="",E87,IF(($H$7&lt;=0),0,(3.6*$F$4*'Leistung u. Drehmoment'!F$1/($D$7/$C$7*$E$7*$H$7*60))))</f>
        <v>80.98164536124166</v>
      </c>
      <c r="G87" s="16">
        <f>IF('Leistung u. Drehmoment'!G1="",F87,IF(($H$7&lt;=0),0,(3.6*$F$4*'Leistung u. Drehmoment'!G$1/($D$7/$C$7*$E$7*$H$7*60))))</f>
        <v>99.20251556752105</v>
      </c>
      <c r="H87" s="16">
        <f>IF('Leistung u. Drehmoment'!H1="",G87,IF(($H$7&lt;=0),0,(3.6*$F$4*'Leistung u. Drehmoment'!H$1/($D$7/$C$7*$E$7*$H$7*60))))</f>
        <v>121.4724680418625</v>
      </c>
      <c r="I87" s="16">
        <f>IF('Leistung u. Drehmoment'!I1="",H87,IF(($H$7&lt;=0),0,(3.6*$F$4*'Leistung u. Drehmoment'!I$1/($D$7/$C$7*$E$7*$H$7*60))))</f>
        <v>141.71787938217292</v>
      </c>
      <c r="J87" s="16">
        <f>IF('Leistung u. Drehmoment'!J1="",I87,IF(($H$7&lt;=0),0,(3.6*$F$4*'Leistung u. Drehmoment'!J$1/($D$7/$C$7*$E$7*$H$7*60))))</f>
        <v>159.93874958845228</v>
      </c>
      <c r="K87" s="16">
        <f>IF('Leistung u. Drehmoment'!K1="",J87,IF(($H$7&lt;=0),0,(3.6*$F$4*'Leistung u. Drehmoment'!K$1/($D$7/$C$7*$E$7*$H$7*60))))</f>
        <v>161.96329072248332</v>
      </c>
      <c r="L87" s="16">
        <f>IF('Leistung u. Drehmoment'!L1="",K87,IF(($H$7&lt;=0),0,(3.6*$F$4*'Leistung u. Drehmoment'!L$1/($D$7/$C$7*$E$7*$H$7*60))))</f>
        <v>161.96329072248332</v>
      </c>
      <c r="M87" s="17">
        <f>IF('Leistung u. Drehmoment'!M1="",L87,IF(($H$7&lt;=0),0,(3.6*$F$4*'Leistung u. Drehmoment'!M$1/($D$7/$C$7*$E$7*$H$7*60))))</f>
        <v>161.96329072248332</v>
      </c>
    </row>
    <row r="88" spans="1:13" ht="12.75">
      <c r="A88" s="195" t="s">
        <v>2</v>
      </c>
      <c r="B88" s="188"/>
      <c r="C88" s="16">
        <f>IF('Leistung u. Drehmoment'!C1="",0,IF(($H$7=0),0,('Leistung u. Drehmoment'!C$4*$D$7/$C$7*$E$7*$H$7*$C$8*$E$8*$H$8/($F$4/2/PI()))))</f>
        <v>4170.95895436195</v>
      </c>
      <c r="D88" s="16">
        <f>IF('Leistung u. Drehmoment'!D1="",C88,IF(($H$7=0),0,('Leistung u. Drehmoment'!D$4*$D$7/$C$7*$E$7*$H$7*$C$8*$E$8*$H$8/($F$4/2/PI()))))</f>
        <v>4871.438166592691</v>
      </c>
      <c r="E88" s="16">
        <f>IF('Leistung u. Drehmoment'!E1="",D88,IF(($H$7=0),0,('Leistung u. Drehmoment'!E$4*$D$7/$C$7*$E$7*$H$7*$C$8*$E$8*$H$8/($F$4/2/PI()))))</f>
        <v>5459.3703591124995</v>
      </c>
      <c r="F88" s="16">
        <f>IF('Leistung u. Drehmoment'!F1="",E88,IF(($H$7=0),0,('Leistung u. Drehmoment'!F$4*$D$7/$C$7*$E$7*$H$7*$C$8*$E$8*$H$8/($F$4/2/PI()))))</f>
        <v>5963.312238415191</v>
      </c>
      <c r="G88" s="16">
        <f>IF('Leistung u. Drehmoment'!G1="",F88,IF(($H$7=0),0,('Leistung u. Drehmoment'!G$4*$D$7/$C$7*$E$7*$H$7*$C$8*$E$8*$H$8/($F$4/2/PI()))))</f>
        <v>6215.283178066538</v>
      </c>
      <c r="H88" s="16">
        <f>IF('Leistung u. Drehmoment'!H1="",G88,IF(($H$7=0),0,('Leistung u. Drehmoment'!H$4*$D$7/$C$7*$E$7*$H$7*$C$8*$E$8*$H$8/($F$4/2/PI()))))</f>
        <v>6047.302551632307</v>
      </c>
      <c r="I88" s="16">
        <f>IF('Leistung u. Drehmoment'!I1="",H88,IF(($H$7=0),0,('Leistung u. Drehmoment'!I$4*$D$7/$C$7*$E$7*$H$7*$C$8*$E$8*$H$8/($F$4/2/PI()))))</f>
        <v>5795.331611980962</v>
      </c>
      <c r="J88" s="16">
        <f>IF('Leistung u. Drehmoment'!J1="",I88,IF(($H$7=0),0,('Leistung u. Drehmoment'!J$4*$D$7/$C$7*$E$7*$H$7*$C$8*$E$8*$H$8/($F$4/2/PI()))))</f>
        <v>5381.22747276493</v>
      </c>
      <c r="K88" s="16">
        <f>IF('Leistung u. Drehmoment'!K1="",J88,IF(($H$7=0),0,('Leistung u. Drehmoment'!K$4*$D$7/$C$7*$E$7*$H$7*$C$8*$E$8*$H$8/($F$4/2/PI()))))</f>
        <v>5293.909442074781</v>
      </c>
      <c r="L88" s="16">
        <f>IF('Leistung u. Drehmoment'!L1="",K88,IF(($H$7=0),0,('Leistung u. Drehmoment'!L$4*$D$7/$C$7*$E$7*$H$7*$C$8*$E$8*$H$8/($F$4/2/PI()))))</f>
        <v>5293.909442074781</v>
      </c>
      <c r="M88" s="17">
        <f>IF('Leistung u. Drehmoment'!M1="",L88,IF(($H$7=0),0,('Leistung u. Drehmoment'!M$4*$D$7/$C$7*$E$7*$H$7*$C$8*$E$8*$H$8/($F$4/2/PI()))))</f>
        <v>5293.909442074781</v>
      </c>
    </row>
    <row r="89" spans="1:13" ht="12.75">
      <c r="A89" s="195" t="s">
        <v>14</v>
      </c>
      <c r="B89" s="188"/>
      <c r="C89" s="16">
        <f>IF('Leistung u. Drehmoment'!C1="",0,IF(($I$7&lt;=0),0,(3.6*$F$4*'Leistung u. Drehmoment'!C$1/($D$7/$C$7*$E$7*$I$7*60))))</f>
        <v>27.560841376001704</v>
      </c>
      <c r="D89" s="16">
        <f>IF('Leistung u. Drehmoment'!D1="",C89,IF(($I$7&lt;=0),0,(3.6*$F$4*'Leistung u. Drehmoment'!D$1/($D$7/$C$7*$E$7*$I$7*60))))</f>
        <v>55.12168275200341</v>
      </c>
      <c r="E89" s="16">
        <f>IF('Leistung u. Drehmoment'!E1="",D89,IF(($I$7&lt;=0),0,(3.6*$F$4*'Leistung u. Drehmoment'!E$1/($D$7/$C$7*$E$7*$I$7*60))))</f>
        <v>82.68252412800511</v>
      </c>
      <c r="F89" s="16">
        <f>IF('Leistung u. Drehmoment'!F1="",E89,IF(($I$7&lt;=0),0,(3.6*$F$4*'Leistung u. Drehmoment'!F$1/($D$7/$C$7*$E$7*$I$7*60))))</f>
        <v>110.24336550400682</v>
      </c>
      <c r="G89" s="16">
        <f>IF('Leistung u. Drehmoment'!G1="",F89,IF(($I$7&lt;=0),0,(3.6*$F$4*'Leistung u. Drehmoment'!G$1/($D$7/$C$7*$E$7*$I$7*60))))</f>
        <v>135.04812274240834</v>
      </c>
      <c r="H89" s="16">
        <f>IF('Leistung u. Drehmoment'!H1="",G89,IF(($I$7&lt;=0),0,(3.6*$F$4*'Leistung u. Drehmoment'!H$1/($D$7/$C$7*$E$7*$I$7*60))))</f>
        <v>165.36504825601023</v>
      </c>
      <c r="I89" s="16">
        <f>IF('Leistung u. Drehmoment'!I1="",H89,IF(($I$7&lt;=0),0,(3.6*$F$4*'Leistung u. Drehmoment'!I$1/($D$7/$C$7*$E$7*$I$7*60))))</f>
        <v>192.92588963201192</v>
      </c>
      <c r="J89" s="16">
        <f>IF('Leistung u. Drehmoment'!J1="",I89,IF(($I$7&lt;=0),0,(3.6*$F$4*'Leistung u. Drehmoment'!J$1/($D$7/$C$7*$E$7*$I$7*60))))</f>
        <v>217.73064687041344</v>
      </c>
      <c r="K89" s="16">
        <f>IF('Leistung u. Drehmoment'!K1="",J89,IF(($I$7&lt;=0),0,(3.6*$F$4*'Leistung u. Drehmoment'!K$1/($D$7/$C$7*$E$7*$I$7*60))))</f>
        <v>220.48673100801363</v>
      </c>
      <c r="L89" s="16">
        <f>IF('Leistung u. Drehmoment'!L1="",K89,IF(($I$7&lt;=0),0,(3.6*$F$4*'Leistung u. Drehmoment'!L$1/($D$7/$C$7*$E$7*$I$7*60))))</f>
        <v>220.48673100801363</v>
      </c>
      <c r="M89" s="17">
        <f>IF('Leistung u. Drehmoment'!M1="",L89,IF(($I$7&lt;=0),0,(3.6*$F$4*'Leistung u. Drehmoment'!M$1/($D$7/$C$7*$E$7*$I$7*60))))</f>
        <v>220.48673100801363</v>
      </c>
    </row>
    <row r="90" spans="1:13" ht="12.75">
      <c r="A90" s="195" t="s">
        <v>3</v>
      </c>
      <c r="B90" s="188"/>
      <c r="C90" s="16">
        <f>IF('Leistung u. Drehmoment'!C1="",0,IF(($I$7=0),0,('Leistung u. Drehmoment'!C$4*$D$7/$C$7*$E$7*$C$8*$E$8*$I$7*$I$8/($F$4/2/PI()))))</f>
        <v>3129.757625869179</v>
      </c>
      <c r="D90" s="16">
        <f>IF('Leistung u. Drehmoment'!D1="",C90,IF(($I$7=0),0,('Leistung u. Drehmoment'!D$4*$D$7/$C$7*$E$7*$C$8*$E$8*$I$7*$I$8/($F$4/2/PI()))))</f>
        <v>3655.3753987195387</v>
      </c>
      <c r="E90" s="16">
        <f>IF('Leistung u. Drehmoment'!E1="",D90,IF(($I$7=0),0,('Leistung u. Drehmoment'!E$4*$D$7/$C$7*$E$7*$C$8*$E$8*$I$7*$I$8/($F$4/2/PI()))))</f>
        <v>4096.541395116725</v>
      </c>
      <c r="F90" s="16">
        <f>IF('Leistung u. Drehmoment'!F1="",E90,IF(($I$7=0),0,('Leistung u. Drehmoment'!F$4*$D$7/$C$7*$E$7*$C$8*$E$8*$I$7*$I$8/($F$4/2/PI()))))</f>
        <v>4474.683677742885</v>
      </c>
      <c r="G90" s="16">
        <f>IF('Leistung u. Drehmoment'!G1="",F90,IF(($I$7=0),0,('Leistung u. Drehmoment'!G$4*$D$7/$C$7*$E$7*$C$8*$E$8*$I$7*$I$8/($F$4/2/PI()))))</f>
        <v>4663.754819055965</v>
      </c>
      <c r="H90" s="16">
        <f>IF('Leistung u. Drehmoment'!H1="",G90,IF(($I$7=0),0,('Leistung u. Drehmoment'!H$4*$D$7/$C$7*$E$7*$C$8*$E$8*$I$7*$I$8/($F$4/2/PI()))))</f>
        <v>4537.707391513912</v>
      </c>
      <c r="I90" s="16">
        <f>IF('Leistung u. Drehmoment'!I1="",H90,IF(($I$7=0),0,('Leistung u. Drehmoment'!I$4*$D$7/$C$7*$E$7*$C$8*$E$8*$I$7*$I$8/($F$4/2/PI()))))</f>
        <v>4348.6362502008315</v>
      </c>
      <c r="J90" s="16">
        <f>IF('Leistung u. Drehmoment'!J1="",I90,IF(($I$7=0),0,('Leistung u. Drehmoment'!J$4*$D$7/$C$7*$E$7*$C$8*$E$8*$I$7*$I$8/($F$4/2/PI()))))</f>
        <v>4037.9054082538073</v>
      </c>
      <c r="K90" s="16">
        <f>IF('Leistung u. Drehmoment'!K1="",J90,IF(($I$7=0),0,('Leistung u. Drehmoment'!K$4*$D$7/$C$7*$E$7*$C$8*$E$8*$I$7*$I$8/($F$4/2/PI()))))</f>
        <v>3972.384678987802</v>
      </c>
      <c r="L90" s="16">
        <f>IF('Leistung u. Drehmoment'!L1="",K90,IF(($I$7=0),0,('Leistung u. Drehmoment'!L$4*$D$7/$C$7*$E$7*$C$8*$E$8*$I$7*$I$8/($F$4/2/PI()))))</f>
        <v>3972.384678987802</v>
      </c>
      <c r="M90" s="17">
        <f>IF('Leistung u. Drehmoment'!M1="",L90,IF(($I$7=0),0,('Leistung u. Drehmoment'!M$4*$D$7/$C$7*$E$7*$C$8*$E$8*$I$7*$I$8/($F$4/2/PI()))))</f>
        <v>3972.384678987802</v>
      </c>
    </row>
    <row r="91" spans="1:13" ht="12.75">
      <c r="A91" s="195" t="s">
        <v>15</v>
      </c>
      <c r="B91" s="188"/>
      <c r="C91" s="16">
        <f>IF('Leistung u. Drehmoment'!C1="",0,IF(($J$7&lt;=0),0,(3.6*$F$4*'Leistung u. Drehmoment'!C$1/($D$7/$C$7*$E$7*$J$7*60))))</f>
        <v>33.789591526978086</v>
      </c>
      <c r="D91" s="16">
        <f>IF('Leistung u. Drehmoment'!D1="",C91,IF(($J$7&lt;=0),0,(3.6*$F$4*'Leistung u. Drehmoment'!D$1/($D$7/$C$7*$E$7*$J$7*60))))</f>
        <v>67.57918305395617</v>
      </c>
      <c r="E91" s="16">
        <f>IF('Leistung u. Drehmoment'!E1="",D91,IF(($J$7&lt;=0),0,(3.6*$F$4*'Leistung u. Drehmoment'!E$1/($D$7/$C$7*$E$7*$J$7*60))))</f>
        <v>101.36877458093424</v>
      </c>
      <c r="F91" s="16">
        <f>IF('Leistung u. Drehmoment'!F1="",E91,IF(($J$7&lt;=0),0,(3.6*$F$4*'Leistung u. Drehmoment'!F$1/($D$7/$C$7*$E$7*$J$7*60))))</f>
        <v>135.15836610791234</v>
      </c>
      <c r="G91" s="16">
        <f>IF('Leistung u. Drehmoment'!G1="",F91,IF(($J$7&lt;=0),0,(3.6*$F$4*'Leistung u. Drehmoment'!G$1/($D$7/$C$7*$E$7*$J$7*60))))</f>
        <v>165.5689984821926</v>
      </c>
      <c r="H91" s="16">
        <f>IF('Leistung u. Drehmoment'!H1="",G91,IF(($J$7&lt;=0),0,(3.6*$F$4*'Leistung u. Drehmoment'!H$1/($D$7/$C$7*$E$7*$J$7*60))))</f>
        <v>202.7375491618685</v>
      </c>
      <c r="I91" s="16">
        <f>IF('Leistung u. Drehmoment'!I1="",H91,IF(($J$7&lt;=0),0,(3.6*$F$4*'Leistung u. Drehmoment'!I$1/($D$7/$C$7*$E$7*$J$7*60))))</f>
        <v>236.52714068884657</v>
      </c>
      <c r="J91" s="16">
        <f>IF('Leistung u. Drehmoment'!J1="",I91,IF(($J$7&lt;=0),0,(3.6*$F$4*'Leistung u. Drehmoment'!J$1/($D$7/$C$7*$E$7*$J$7*60))))</f>
        <v>266.9377730631268</v>
      </c>
      <c r="K91" s="16">
        <f>IF('Leistung u. Drehmoment'!K1="",J91,IF(($J$7&lt;=0),0,(3.6*$F$4*'Leistung u. Drehmoment'!K$1/($D$7/$C$7*$E$7*$J$7*60))))</f>
        <v>270.3167322158247</v>
      </c>
      <c r="L91" s="16">
        <f>IF('Leistung u. Drehmoment'!L1="",K91,IF(($J$7&lt;=0),0,(3.6*$F$4*'Leistung u. Drehmoment'!L$1/($D$7/$C$7*$E$7*$J$7*60))))</f>
        <v>270.3167322158247</v>
      </c>
      <c r="M91" s="17">
        <f>IF('Leistung u. Drehmoment'!M1="",L91,IF(($J$7&lt;=0),0,(3.6*$F$4*'Leistung u. Drehmoment'!M$1/($D$7/$C$7*$E$7*$J$7*60))))</f>
        <v>270.3167322158247</v>
      </c>
    </row>
    <row r="92" spans="1:13" ht="12.75">
      <c r="A92" s="195" t="s">
        <v>4</v>
      </c>
      <c r="B92" s="188"/>
      <c r="C92" s="16">
        <f>IF('Leistung u. Drehmoment'!C1="",0,IF(($J$7=0),0,('Leistung u. Drehmoment'!C$4*$D$7/$C$7*$E$7*$C$8*$E$8*$J$7*$J$8/($F$4/2/PI()))))</f>
        <v>2633.435625785005</v>
      </c>
      <c r="D92" s="16">
        <f>IF('Leistung u. Drehmoment'!D1="",C92,IF(($J$7=0),0,('Leistung u. Drehmoment'!D$4*$D$7/$C$7*$E$7*$C$8*$E$8*$J$7*$J$8/($F$4/2/PI()))))</f>
        <v>3075.7000864987967</v>
      </c>
      <c r="E92" s="16">
        <f>IF('Leistung u. Drehmoment'!E1="",D92,IF(($J$7=0),0,('Leistung u. Drehmoment'!E$4*$D$7/$C$7*$E$7*$C$8*$E$8*$J$7*$J$8/($F$4/2/PI()))))</f>
        <v>3446.9052693521</v>
      </c>
      <c r="F92" s="16">
        <f>IF('Leistung u. Drehmoment'!F1="",E92,IF(($J$7=0),0,('Leistung u. Drehmoment'!F$4*$D$7/$C$7*$E$7*$C$8*$E$8*$J$7*$J$8/($F$4/2/PI()))))</f>
        <v>3765.0811403692173</v>
      </c>
      <c r="G92" s="16">
        <f>IF('Leistung u. Drehmoment'!G1="",F92,IF(($J$7=0),0,('Leistung u. Drehmoment'!G$4*$D$7/$C$7*$E$7*$C$8*$E$8*$J$7*$J$8/($F$4/2/PI()))))</f>
        <v>3924.169075877776</v>
      </c>
      <c r="H92" s="16">
        <f>IF('Leistung u. Drehmoment'!H1="",G92,IF(($J$7=0),0,('Leistung u. Drehmoment'!H$4*$D$7/$C$7*$E$7*$C$8*$E$8*$J$7*$J$8/($F$4/2/PI()))))</f>
        <v>3818.1104522054034</v>
      </c>
      <c r="I92" s="16">
        <f>IF('Leistung u. Drehmoment'!I1="",H92,IF(($J$7=0),0,('Leistung u. Drehmoment'!I$4*$D$7/$C$7*$E$7*$C$8*$E$8*$J$7*$J$8/($F$4/2/PI()))))</f>
        <v>3659.022516696845</v>
      </c>
      <c r="J92" s="16">
        <f>IF('Leistung u. Drehmoment'!J1="",I92,IF(($J$7=0),0,('Leistung u. Drehmoment'!J$4*$D$7/$C$7*$E$7*$C$8*$E$8*$J$7*$J$8/($F$4/2/PI()))))</f>
        <v>3397.5678716310913</v>
      </c>
      <c r="K92" s="16">
        <f>IF('Leistung u. Drehmoment'!K1="",J92,IF(($J$7=0),0,('Leistung u. Drehmoment'!K$4*$D$7/$C$7*$E$7*$C$8*$E$8*$J$7*$J$8/($F$4/2/PI()))))</f>
        <v>3342.4375250348126</v>
      </c>
      <c r="L92" s="16">
        <f>IF('Leistung u. Drehmoment'!L1="",K92,IF(($J$7=0),0,('Leistung u. Drehmoment'!L$4*$D$7/$C$7*$E$7*$C$8*$E$8*$J$7*$J$8/($F$4/2/PI()))))</f>
        <v>3342.4375250348126</v>
      </c>
      <c r="M92" s="17">
        <f>IF('Leistung u. Drehmoment'!M1="",L92,IF(($J$7=0),0,('Leistung u. Drehmoment'!M$4*$D$7/$C$7*$E$7*$C$8*$E$8*$J$7*$J$8/($F$4/2/PI()))))</f>
        <v>3342.4375250348126</v>
      </c>
    </row>
    <row r="93" spans="1:13" ht="12.75">
      <c r="A93" s="195" t="s">
        <v>16</v>
      </c>
      <c r="B93" s="188"/>
      <c r="C93" s="16">
        <f>IF('Leistung u. Drehmoment'!C1="",0,IF(($K$7&lt;=0),0,(3.6*$F$4*'Leistung u. Drehmoment'!C$1/($D$7/$C$7*$E$7*$K$7*60))))</f>
        <v>40.80868541905566</v>
      </c>
      <c r="D93" s="16">
        <f>IF('Leistung u. Drehmoment'!D1="",C93,IF(($K$7&lt;=0),0,(3.6*$F$4*'Leistung u. Drehmoment'!D$1/($D$7/$C$7*$E$7*$K$7*60))))</f>
        <v>81.61737083811131</v>
      </c>
      <c r="E93" s="16">
        <f>IF('Leistung u. Drehmoment'!E1="",D93,IF(($K$7&lt;=0),0,(3.6*$F$4*'Leistung u. Drehmoment'!E$1/($D$7/$C$7*$E$7*$K$7*60))))</f>
        <v>122.42605625716698</v>
      </c>
      <c r="F93" s="16">
        <f>IF('Leistung u. Drehmoment'!F1="",E93,IF(($K$7&lt;=0),0,(3.6*$F$4*'Leistung u. Drehmoment'!F$1/($D$7/$C$7*$E$7*$K$7*60))))</f>
        <v>163.23474167622263</v>
      </c>
      <c r="G93" s="16">
        <f>IF('Leistung u. Drehmoment'!G1="",F93,IF(($K$7&lt;=0),0,(3.6*$F$4*'Leistung u. Drehmoment'!G$1/($D$7/$C$7*$E$7*$K$7*60))))</f>
        <v>199.96255855337273</v>
      </c>
      <c r="H93" s="16">
        <f>IF('Leistung u. Drehmoment'!H1="",G93,IF(($K$7&lt;=0),0,(3.6*$F$4*'Leistung u. Drehmoment'!H$1/($D$7/$C$7*$E$7*$K$7*60))))</f>
        <v>244.85211251433395</v>
      </c>
      <c r="I93" s="16">
        <f>IF('Leistung u. Drehmoment'!I1="",H93,IF(($K$7&lt;=0),0,(3.6*$F$4*'Leistung u. Drehmoment'!I$1/($D$7/$C$7*$E$7*$K$7*60))))</f>
        <v>285.66079793338963</v>
      </c>
      <c r="J93" s="16">
        <f>IF('Leistung u. Drehmoment'!J1="",I93,IF(($K$7&lt;=0),0,(3.6*$F$4*'Leistung u. Drehmoment'!J$1/($D$7/$C$7*$E$7*$K$7*60))))</f>
        <v>322.3886148105397</v>
      </c>
      <c r="K93" s="16">
        <f>IF('Leistung u. Drehmoment'!K1="",J93,IF(($K$7&lt;=0),0,(3.6*$F$4*'Leistung u. Drehmoment'!K$1/($D$7/$C$7*$E$7*$K$7*60))))</f>
        <v>326.46948335244525</v>
      </c>
      <c r="L93" s="16">
        <f>IF('Leistung u. Drehmoment'!L1="",K93,IF(($K$7&lt;=0),0,(3.6*$F$4*'Leistung u. Drehmoment'!L$1/($D$7/$C$7*$E$7*$K$7*60))))</f>
        <v>326.46948335244525</v>
      </c>
      <c r="M93" s="17">
        <f>IF('Leistung u. Drehmoment'!M1="",L93,IF(($K$7&lt;=0),0,(3.6*$F$4*'Leistung u. Drehmoment'!M$1/($D$7/$C$7*$E$7*$K$7*60))))</f>
        <v>326.46948335244525</v>
      </c>
    </row>
    <row r="94" spans="1:13" ht="12.75">
      <c r="A94" s="195" t="s">
        <v>17</v>
      </c>
      <c r="B94" s="188"/>
      <c r="C94" s="16">
        <f>IF('Leistung u. Drehmoment'!C1="",0,IF(($K$7=0),0,('Leistung u. Drehmoment'!C$4*$D$7/$C$7*$E$7*$K$7*$C$8*$E$8*$K$8/($F$4/2/PI()))))</f>
        <v>2069.235478856617</v>
      </c>
      <c r="D94" s="16">
        <f>IF('Leistung u. Drehmoment'!D1="",C94,IF(($K$7=0),0,('Leistung u. Drehmoment'!D$4*$D$7/$C$7*$E$7*$K$7*$C$8*$E$8*$K$8/($F$4/2/PI()))))</f>
        <v>2416.7470353138096</v>
      </c>
      <c r="E94" s="16">
        <f>IF('Leistung u. Drehmoment'!E1="",D94,IF(($K$7=0),0,('Leistung u. Drehmoment'!E$4*$D$7/$C$7*$E$7*$K$7*$C$8*$E$8*$K$8/($F$4/2/PI()))))</f>
        <v>2708.4234016447867</v>
      </c>
      <c r="F94" s="16">
        <f>IF('Leistung u. Drehmoment'!F1="",E94,IF(($K$7=0),0,('Leistung u. Drehmoment'!F$4*$D$7/$C$7*$E$7*$K$7*$C$8*$E$8*$K$8/($F$4/2/PI()))))</f>
        <v>2958.4317156427674</v>
      </c>
      <c r="G94" s="16">
        <f>IF('Leistung u. Drehmoment'!G1="",F94,IF(($K$7=0),0,('Leistung u. Drehmoment'!G$4*$D$7/$C$7*$E$7*$K$7*$C$8*$E$8*$K$8/($F$4/2/PI()))))</f>
        <v>3083.4358726417577</v>
      </c>
      <c r="H94" s="16">
        <f>IF('Leistung u. Drehmoment'!H1="",G94,IF(($K$7=0),0,('Leistung u. Drehmoment'!H$4*$D$7/$C$7*$E$7*$K$7*$C$8*$E$8*$K$8/($F$4/2/PI()))))</f>
        <v>3000.0997679757643</v>
      </c>
      <c r="I94" s="16">
        <f>IF('Leistung u. Drehmoment'!I1="",H94,IF(($K$7=0),0,('Leistung u. Drehmoment'!I$4*$D$7/$C$7*$E$7*$K$7*$C$8*$E$8*$K$8/($F$4/2/PI()))))</f>
        <v>2875.095610976774</v>
      </c>
      <c r="J94" s="16">
        <f>IF('Leistung u. Drehmoment'!J1="",I94,IF(($K$7=0),0,('Leistung u. Drehmoment'!J$4*$D$7/$C$7*$E$7*$K$7*$C$8*$E$8*$K$8/($F$4/2/PI()))))</f>
        <v>2669.6562896640876</v>
      </c>
      <c r="K94" s="16">
        <f>IF('Leistung u. Drehmoment'!K1="",J94,IF(($K$7=0),0,('Leistung u. Drehmoment'!K$4*$D$7/$C$7*$E$7*$K$7*$C$8*$E$8*$K$8/($F$4/2/PI()))))</f>
        <v>2626.337338548783</v>
      </c>
      <c r="L94" s="16">
        <f>IF('Leistung u. Drehmoment'!L1="",K94,IF(($K$7=0),0,('Leistung u. Drehmoment'!L$4*$D$7/$C$7*$E$7*$K$7*$C$8*$E$8*$K$8/($F$4/2/PI()))))</f>
        <v>2626.337338548783</v>
      </c>
      <c r="M94" s="17">
        <f>IF('Leistung u. Drehmoment'!M1="",L94,IF(($K$7=0),0,('Leistung u. Drehmoment'!M$4*$D$7/$C$7*$E$7*$K$7*$C$8*$E$8*$K$8/($F$4/2/PI()))))</f>
        <v>2626.337338548783</v>
      </c>
    </row>
    <row r="95" spans="1:13" ht="12.75">
      <c r="A95" s="195" t="s">
        <v>32</v>
      </c>
      <c r="B95" s="188"/>
      <c r="C95" s="16">
        <f>IF('Leistung u. Drehmoment'!C1="",0,IF(($L$7&lt;=0),0,(3.6*$F$4*'Leistung u. Drehmoment'!C$1/($D$7/$C$7*$E$7*$L$7*60))))</f>
        <v>0</v>
      </c>
      <c r="D95" s="16">
        <f>IF('Leistung u. Drehmoment'!D1="",C95,IF(($L$7&lt;=0),0,(3.6*$F$4*'Leistung u. Drehmoment'!D$1/($D$7/$C$7*$E$7*$L$7*60))))</f>
        <v>0</v>
      </c>
      <c r="E95" s="16">
        <f>IF('Leistung u. Drehmoment'!E1="",D95,IF(($L$7&lt;=0),0,(3.6*$F$4*'Leistung u. Drehmoment'!E$1/($D$7/$C$7*$E$7*$L$7*60))))</f>
        <v>0</v>
      </c>
      <c r="F95" s="16">
        <f>IF('Leistung u. Drehmoment'!F1="",E95,IF(($L$7&lt;=0),0,(3.6*$F$4*'Leistung u. Drehmoment'!F$1/($D$7/$C$7*$E$7*$L$7*60))))</f>
        <v>0</v>
      </c>
      <c r="G95" s="16">
        <f>IF('Leistung u. Drehmoment'!G1="",F95,IF(($L$7&lt;=0),0,(3.6*$F$4*'Leistung u. Drehmoment'!G$1/($D$7/$C$7*$E$7*$L$7*60))))</f>
        <v>0</v>
      </c>
      <c r="H95" s="16">
        <f>IF('Leistung u. Drehmoment'!H1="",G95,IF(($L$7&lt;=0),0,(3.6*$F$4*'Leistung u. Drehmoment'!H$1/($D$7/$C$7*$E$7*$L$7*60))))</f>
        <v>0</v>
      </c>
      <c r="I95" s="16">
        <f>IF('Leistung u. Drehmoment'!I1="",H95,IF(($L$7&lt;=0),0,(3.6*$F$4*'Leistung u. Drehmoment'!I$1/($D$7/$C$7*$E$7*$L$7*60))))</f>
        <v>0</v>
      </c>
      <c r="J95" s="16">
        <f>IF('Leistung u. Drehmoment'!J1="",I95,IF(($L$7&lt;=0),0,(3.6*$F$4*'Leistung u. Drehmoment'!J$1/($D$7/$C$7*$E$7*$L$7*60))))</f>
        <v>0</v>
      </c>
      <c r="K95" s="16">
        <f>IF('Leistung u. Drehmoment'!K1="",J95,IF(($L$7&lt;=0),0,(3.6*$F$4*'Leistung u. Drehmoment'!K$1/($D$7/$C$7*$E$7*$L$7*60))))</f>
        <v>0</v>
      </c>
      <c r="L95" s="16">
        <f>IF('Leistung u. Drehmoment'!L1="",K95,IF(($L$7&lt;=0),0,(3.6*$F$4*'Leistung u. Drehmoment'!L$1/($D$7/$C$7*$E$7*$L$7*60))))</f>
        <v>0</v>
      </c>
      <c r="M95" s="17">
        <f>IF('Leistung u. Drehmoment'!M1="",L95,IF(($L$7&lt;=0),0,(3.6*$F$4*'Leistung u. Drehmoment'!M$1/($D$7/$C$7*$E$7*$L$7*60))))</f>
        <v>0</v>
      </c>
    </row>
    <row r="96" spans="1:13" ht="13.5" thickBot="1">
      <c r="A96" s="202" t="s">
        <v>33</v>
      </c>
      <c r="B96" s="203"/>
      <c r="C96" s="18">
        <f>IF('Leistung u. Drehmoment'!C1="",0,IF(($L$7=0),0,('Leistung u. Drehmoment'!C$4*$D$7/$C$7*$E$7*$C$8*$E$8*$L$7*$L$8/($F$4/2/PI()))))</f>
        <v>0</v>
      </c>
      <c r="D96" s="18">
        <f>IF('Leistung u. Drehmoment'!D1="",C96,IF(($L$7=0),0,('Leistung u. Drehmoment'!D$4*$D$7/$C$7*$E$7*$C$8*$E$8*$L$7*$L$8/($F$4/2/PI()))))</f>
        <v>0</v>
      </c>
      <c r="E96" s="18">
        <f>IF('Leistung u. Drehmoment'!E1="",D96,IF(($L$7=0),0,('Leistung u. Drehmoment'!E$4*$D$7/$C$7*$E$7*$C$8*$E$8*$L$7*$L$8/($F$4/2/PI()))))</f>
        <v>0</v>
      </c>
      <c r="F96" s="18">
        <f>IF('Leistung u. Drehmoment'!F1="",E96,IF(($L$7=0),0,('Leistung u. Drehmoment'!F$4*$D$7/$C$7*$E$7*$C$8*$E$8*$L$7*$L$8/($F$4/2/PI()))))</f>
        <v>0</v>
      </c>
      <c r="G96" s="18">
        <f>IF('Leistung u. Drehmoment'!G1="",F96,IF(($L$7=0),0,('Leistung u. Drehmoment'!G$4*$D$7/$C$7*$E$7*$C$8*$E$8*$L$7*$L$8/($F$4/2/PI()))))</f>
        <v>0</v>
      </c>
      <c r="H96" s="18">
        <f>IF('Leistung u. Drehmoment'!H1="",G96,IF(($L$7=0),0,('Leistung u. Drehmoment'!H$4*$D$7/$C$7*$E$7*$C$8*$E$8*$L$7*$L$8/($F$4/2/PI()))))</f>
        <v>0</v>
      </c>
      <c r="I96" s="18">
        <f>IF('Leistung u. Drehmoment'!I1="",H96,IF(($L$7=0),0,('Leistung u. Drehmoment'!I$4*$D$7/$C$7*$E$7*$C$8*$E$8*$L$7*$L$8/($F$4/2/PI()))))</f>
        <v>0</v>
      </c>
      <c r="J96" s="18">
        <f>IF('Leistung u. Drehmoment'!J1="",I96,IF(($L$7=0),0,('Leistung u. Drehmoment'!J$4*$D$7/$C$7*$E$7*$C$8*$E$8*$L$7*$L$8/($F$4/2/PI()))))</f>
        <v>0</v>
      </c>
      <c r="K96" s="18">
        <f>IF('Leistung u. Drehmoment'!K1="",J96,IF(($L$7=0),0,('Leistung u. Drehmoment'!K$4*$D$7/$C$7*$E$7*$C$8*$E$8*$L$7*$L$8/($F$4/2/PI()))))</f>
        <v>0</v>
      </c>
      <c r="L96" s="18">
        <f>IF('Leistung u. Drehmoment'!L1="",K96,IF(($L$7=0),0,('Leistung u. Drehmoment'!L$4*$D$7/$C$7*$E$7*$C$8*$E$8*$L$7*$L$8/($F$4/2/PI()))))</f>
        <v>0</v>
      </c>
      <c r="M96" s="19">
        <f>IF('Leistung u. Drehmoment'!M1="",L96,IF(($L$7=0),0,('Leistung u. Drehmoment'!M$4*$D$7/$C$7*$E$7*$C$8*$E$8*$L$7*$L$8/($F$4/2/PI()))))</f>
        <v>0</v>
      </c>
    </row>
    <row r="97" spans="1:15" ht="13.5" thickBot="1">
      <c r="A97" s="12"/>
      <c r="B97" s="12"/>
      <c r="C97" s="12"/>
      <c r="D97" s="12"/>
      <c r="E97" s="11"/>
      <c r="F97" s="11"/>
      <c r="G97" s="11"/>
      <c r="H97" s="11"/>
      <c r="I97" s="11"/>
      <c r="J97" s="11"/>
      <c r="K97" s="11"/>
      <c r="L97" s="11"/>
      <c r="M97" s="11"/>
      <c r="N97" s="11"/>
      <c r="O97" s="11"/>
    </row>
    <row r="98" spans="1:15" ht="15.75">
      <c r="A98" s="20"/>
      <c r="B98" s="21" t="s">
        <v>26</v>
      </c>
      <c r="C98" s="21" t="s">
        <v>27</v>
      </c>
      <c r="D98" s="22" t="s">
        <v>28</v>
      </c>
      <c r="E98" s="22"/>
      <c r="F98" s="252" t="s">
        <v>74</v>
      </c>
      <c r="G98" s="252"/>
      <c r="H98" s="166" t="s">
        <v>73</v>
      </c>
      <c r="I98" s="167"/>
      <c r="J98" s="20" t="s">
        <v>26</v>
      </c>
      <c r="K98" s="21" t="s">
        <v>27</v>
      </c>
      <c r="L98" s="21" t="s">
        <v>38</v>
      </c>
      <c r="M98" s="54" t="s">
        <v>39</v>
      </c>
      <c r="O98" s="11"/>
    </row>
    <row r="99" spans="1:15" ht="12.75">
      <c r="A99" s="23" t="s">
        <v>8</v>
      </c>
      <c r="B99" s="16">
        <v>0</v>
      </c>
      <c r="C99" s="16">
        <f>M8</f>
        <v>8000</v>
      </c>
      <c r="D99" s="16">
        <v>0</v>
      </c>
      <c r="E99" s="16">
        <f>IF((F$7&lt;=0),"",(3.6*$F$4*$C$99/($D$7/$C$7*$E$7*F$7*60)))</f>
        <v>63.9500194501596</v>
      </c>
      <c r="F99" s="16">
        <v>0</v>
      </c>
      <c r="G99" s="16">
        <f>F53</f>
        <v>8000</v>
      </c>
      <c r="H99" s="168">
        <v>0</v>
      </c>
      <c r="I99" s="169">
        <f>F54</f>
        <v>63.9500194501596</v>
      </c>
      <c r="J99" s="55">
        <v>1000</v>
      </c>
      <c r="K99" s="56">
        <f>MAX('Leistung u. Drehmoment'!C1:M1)</f>
        <v>8000</v>
      </c>
      <c r="L99" s="57">
        <f>IF((F$7&lt;=0),"",(3.6*$F$4*J99/($D$7/$C$7*$E$7*F$7*60)))</f>
        <v>7.99375243126995</v>
      </c>
      <c r="M99" s="58">
        <f>IF((F$7&lt;=0),"",(3.6*$F$4*K99/($D$7/$C$7*$E$7*F$7*60)))</f>
        <v>63.9500194501596</v>
      </c>
      <c r="O99" s="13"/>
    </row>
    <row r="100" spans="1:15" ht="12.75">
      <c r="A100" s="23" t="s">
        <v>9</v>
      </c>
      <c r="B100" s="16">
        <f>IF(($G$7&lt;=0),"",E99*($D$7/$C$7*$E$7*$G$7*60)/(3.6*$F$4))</f>
        <v>4784.480719186183</v>
      </c>
      <c r="C100" s="16">
        <f>IF((G$7&lt;=0),"",$C$99)</f>
        <v>8000</v>
      </c>
      <c r="D100" s="16">
        <f aca="true" t="shared" si="4" ref="D100:D105">$E99</f>
        <v>63.9500194501596</v>
      </c>
      <c r="E100" s="16">
        <f>IF(($G$7&lt;=0),"",(3.6*$F$4*$C$99/($D$7/$C$7*$E$7*$G$7*60)))</f>
        <v>106.92908711069015</v>
      </c>
      <c r="F100" s="16">
        <f>IF(($G$7&lt;=0),"",I99*($D$7/$C$7*$E$7*$G$7*60)/(3.6*$F$4))</f>
        <v>4784.480719186183</v>
      </c>
      <c r="G100" s="16">
        <f>G53</f>
        <v>8000</v>
      </c>
      <c r="H100" s="168">
        <f>F54</f>
        <v>63.9500194501596</v>
      </c>
      <c r="I100" s="170">
        <f>G54</f>
        <v>106.92908711069015</v>
      </c>
      <c r="J100" s="55">
        <f>IF((G$7&lt;=0),"",1000)</f>
        <v>1000</v>
      </c>
      <c r="K100" s="57">
        <f>IF((G$7&lt;=0),"",MAX('Leistung u. Drehmoment'!C1:M1))</f>
        <v>8000</v>
      </c>
      <c r="L100" s="57">
        <f>IF((G$7&lt;=0),"",(3.6*$F$4*J100/($D$7/$C$7*$E$7*G$7*60)))</f>
        <v>13.366135888836268</v>
      </c>
      <c r="M100" s="58">
        <f>IF((G$7&lt;=0),"",(3.6*$F$4*K100/($D$7/$C$7*$E$7*G$7*60)))</f>
        <v>106.92908711069015</v>
      </c>
      <c r="O100" s="13"/>
    </row>
    <row r="101" spans="1:15" ht="12.75">
      <c r="A101" s="23" t="s">
        <v>5</v>
      </c>
      <c r="B101" s="16">
        <f>IF(($H$7&lt;=0),"",E100*($D$7/$C$7*$E$7*$H$7*60)/(3.6*F$4))</f>
        <v>5281.645569620253</v>
      </c>
      <c r="C101" s="16">
        <f>IF((H$7&lt;=0),"",$C$99)</f>
        <v>8000</v>
      </c>
      <c r="D101" s="16">
        <f t="shared" si="4"/>
        <v>106.92908711069015</v>
      </c>
      <c r="E101" s="16">
        <f>IF(($H$7&lt;=0),"",(3.6*$F$4*$C$99/($D$7/$C$7*$E$7*$H$7*60)))</f>
        <v>161.96329072248332</v>
      </c>
      <c r="F101" s="16">
        <f>IF(($H$7&lt;=0),"",I100*($D$7/$C$7*$E$7*$H$7*60)/(3.6*F$4))</f>
        <v>5281.645569620253</v>
      </c>
      <c r="G101" s="16">
        <f>H53</f>
        <v>7999.999999999999</v>
      </c>
      <c r="H101" s="168">
        <f>G54</f>
        <v>106.92908711069015</v>
      </c>
      <c r="I101" s="170">
        <f>H54</f>
        <v>161.96329072248332</v>
      </c>
      <c r="J101" s="55">
        <f>IF((H$7&lt;=0),"",1000)</f>
        <v>1000</v>
      </c>
      <c r="K101" s="57">
        <f>IF((H$7&lt;=0),"",MAX('Leistung u. Drehmoment'!C1:M1))</f>
        <v>8000</v>
      </c>
      <c r="L101" s="57">
        <f>IF((H$7&lt;=0),"",(3.6*$F$4*J101/($D$7/$C$7*$E$7*H$7*60)))</f>
        <v>20.245411340310415</v>
      </c>
      <c r="M101" s="58">
        <f>IF((H$7&lt;=0),"",(3.6*$F$4*K101/($D$7/$C$7*$E$7*H$7*60)))</f>
        <v>161.96329072248332</v>
      </c>
      <c r="O101" s="13"/>
    </row>
    <row r="102" spans="1:15" ht="12.75">
      <c r="A102" s="23" t="s">
        <v>6</v>
      </c>
      <c r="B102" s="16">
        <f>IF(($I$7&lt;=0),"",E101*($D$7/$C$7*$E$7*$I$7*60)/(3.6*F$4))</f>
        <v>5876.572798082683</v>
      </c>
      <c r="C102" s="16">
        <f>IF((I$7&lt;=0),"",$C$99)</f>
        <v>8000</v>
      </c>
      <c r="D102" s="16">
        <f t="shared" si="4"/>
        <v>161.96329072248332</v>
      </c>
      <c r="E102" s="16">
        <f>IF(($I$7&lt;=0),"",(3.6*$F$4*$C$99/($D$7/$C$7*$E$7*$I$7*60)))</f>
        <v>220.48673100801363</v>
      </c>
      <c r="F102" s="16">
        <f>IF(($I$7&lt;=0),"",I101*($D$7/$C$7*$E$7*$I$7*60)/(3.6*F$4))</f>
        <v>5876.572798082683</v>
      </c>
      <c r="G102" s="16">
        <f>I53</f>
        <v>8000.000000000001</v>
      </c>
      <c r="H102" s="168">
        <f>H54</f>
        <v>161.96329072248332</v>
      </c>
      <c r="I102" s="170">
        <f>I54</f>
        <v>220.48673100801363</v>
      </c>
      <c r="J102" s="55">
        <f>IF((I$7&lt;=0),"",1000)</f>
        <v>1000</v>
      </c>
      <c r="K102" s="57">
        <f>IF((I$7&lt;=0),"",MAX('Leistung u. Drehmoment'!C1:M1))</f>
        <v>8000</v>
      </c>
      <c r="L102" s="57">
        <f>IF((I$7&lt;=0),"",(3.6*$F$4*J102/($D$7/$C$7*$E$7*I$7*60)))</f>
        <v>27.560841376001704</v>
      </c>
      <c r="M102" s="58">
        <f>IF((I$7&lt;=0),"",(3.6*$F$4*K102/($D$7/$C$7*$E$7*I$7*60)))</f>
        <v>220.48673100801363</v>
      </c>
      <c r="O102" s="13"/>
    </row>
    <row r="103" spans="1:15" ht="12.75">
      <c r="A103" s="23" t="s">
        <v>7</v>
      </c>
      <c r="B103" s="16">
        <f>IF(($J$7&lt;=0),"",E102*($D$7/$C$7*$E$7*$J$7*60)/(3.6*F$4))</f>
        <v>6525.2854812398045</v>
      </c>
      <c r="C103" s="16">
        <f>IF((J$7&lt;=0),"",$C$99)</f>
        <v>8000</v>
      </c>
      <c r="D103" s="16">
        <f t="shared" si="4"/>
        <v>220.48673100801363</v>
      </c>
      <c r="E103" s="16">
        <f>IF(($J$7&lt;=0),"",(3.6*$F$4*$C$99/($D$7/$C$7*$E$7*$J$7*60)))</f>
        <v>270.3167322158247</v>
      </c>
      <c r="F103" s="16">
        <f>IF(($J$7&lt;=0),"",I102*($D$7/$C$7*$E$7*$J$7*60)/(3.6*F$4))</f>
        <v>6525.2854812398045</v>
      </c>
      <c r="G103" s="16">
        <f>J53</f>
        <v>8000.000000000001</v>
      </c>
      <c r="H103" s="168">
        <f>I54</f>
        <v>220.48673100801363</v>
      </c>
      <c r="I103" s="170">
        <f>J54</f>
        <v>270.3167322158247</v>
      </c>
      <c r="J103" s="55">
        <f>IF((J$7&lt;=0),"",1000)</f>
        <v>1000</v>
      </c>
      <c r="K103" s="57">
        <f>IF((J$7&lt;=0),"",MAX('Leistung u. Drehmoment'!C1:M1))</f>
        <v>8000</v>
      </c>
      <c r="L103" s="57">
        <f>IF((J$7&lt;=0),"",(3.6*$F$4*J103/($D$7/$C$7*$E$7*J$7*60)))</f>
        <v>33.789591526978086</v>
      </c>
      <c r="M103" s="58">
        <f>IF((J$7&lt;=0),"",(3.6*$F$4*K103/($D$7/$C$7*$E$7*J$7*60)))</f>
        <v>270.3167322158247</v>
      </c>
      <c r="O103" s="13"/>
    </row>
    <row r="104" spans="1:15" ht="12.75">
      <c r="A104" s="23" t="s">
        <v>10</v>
      </c>
      <c r="B104" s="16">
        <f>IF(($K$7&lt;=0),"",E103*($D$7/$C$7*$E$7*$K$7*60)/(3.6*F$4))</f>
        <v>6624</v>
      </c>
      <c r="C104" s="16">
        <f>IF((K$7&lt;=0),"",$C$99)</f>
        <v>8000</v>
      </c>
      <c r="D104" s="16">
        <f t="shared" si="4"/>
        <v>270.3167322158247</v>
      </c>
      <c r="E104" s="16">
        <f>IF(($K$7&lt;=0),"",(3.6*$F$4*$C$99/($D$7/$C$7*$E$7*$K$7*60)))</f>
        <v>326.46948335244525</v>
      </c>
      <c r="F104" s="16">
        <f>IF(($K$7&lt;=0),"",I103*($D$7/$C$7*$E$7*$K$7*60)/(3.6*F$4))</f>
        <v>6624</v>
      </c>
      <c r="G104" s="16">
        <f>K53</f>
        <v>8000</v>
      </c>
      <c r="H104" s="168">
        <f>J54</f>
        <v>270.3167322158247</v>
      </c>
      <c r="I104" s="170">
        <f>K54</f>
        <v>326.46948335244525</v>
      </c>
      <c r="J104" s="55">
        <f>IF((K$7&lt;=0),"",1000)</f>
        <v>1000</v>
      </c>
      <c r="K104" s="57">
        <f>IF((K$7&lt;=0),"",MAX('Leistung u. Drehmoment'!C1:M1))</f>
        <v>8000</v>
      </c>
      <c r="L104" s="57">
        <f>IF((K$7&lt;=0),"",(3.6*$F$4*J104/($D$7/$C$7*$E$7*K$7*60)))</f>
        <v>40.80868541905566</v>
      </c>
      <c r="M104" s="58">
        <f>IF((K$7&lt;=0),"",(3.6*$F$4*K104/($D$7/$C$7*$E$7*K$7*60)))</f>
        <v>326.46948335244525</v>
      </c>
      <c r="O104" s="13"/>
    </row>
    <row r="105" spans="1:15" ht="13.5" thickBot="1">
      <c r="A105" s="24" t="s">
        <v>31</v>
      </c>
      <c r="B105" s="18">
        <f>IF(($L$7&lt;=0),"",E104*($D$7/$C$7*$E$7*$L$7*60)/(3.6*F$4))</f>
      </c>
      <c r="C105" s="18">
        <f>IF((L$7&lt;=0),"",$C$99)</f>
      </c>
      <c r="D105" s="18">
        <f t="shared" si="4"/>
        <v>326.46948335244525</v>
      </c>
      <c r="E105" s="18">
        <f>IF(($L$7&lt;=0),"",(3.6*$F$4*$C$99/($D$7/$C$7*$E$7*$L$7*60)))</f>
      </c>
      <c r="F105" s="18">
        <f>IF(($L$7&lt;=0),"",I104*($D$7/$C$7*$E$7*$L$7*60)/(3.6*F$4))</f>
      </c>
      <c r="G105" s="18">
        <f>L53</f>
      </c>
      <c r="H105" s="171">
        <f>K54</f>
        <v>326.46948335244525</v>
      </c>
      <c r="I105" s="172">
        <f>L54</f>
      </c>
      <c r="J105" s="59">
        <f>IF((L$7&lt;=0),"",1000)</f>
      </c>
      <c r="K105" s="60">
        <f>IF((L$7&lt;=0),"",MAX('Leistung u. Drehmoment'!C1:M1))</f>
      </c>
      <c r="L105" s="60">
        <f>IF((L$7&lt;=0),"",(3.6*$F$4*J105/($D$7/$C$7*$E$7*L$7*60)))</f>
      </c>
      <c r="M105" s="61">
        <f>IF((L$7&lt;=0),"",(3.6*$F$4*K105/($D$7/$C$7*$E$7*L$7*60)))</f>
      </c>
      <c r="O105" s="13"/>
    </row>
    <row r="106" spans="1:15" ht="13.5" thickBot="1">
      <c r="A106" s="13"/>
      <c r="B106" s="13"/>
      <c r="C106" s="13"/>
      <c r="D106" s="13"/>
      <c r="E106" s="13"/>
      <c r="F106" s="165"/>
      <c r="G106" s="165"/>
      <c r="H106" s="13"/>
      <c r="I106" s="13"/>
      <c r="J106" s="13"/>
      <c r="K106" s="13"/>
      <c r="L106" s="13"/>
      <c r="O106" s="13"/>
    </row>
    <row r="107" spans="1:15" ht="12.75">
      <c r="A107" s="45" t="s">
        <v>34</v>
      </c>
      <c r="B107" s="49"/>
      <c r="C107" s="46">
        <f>IF(OR(T14="n",T14="N"),0,D107*E107)</f>
        <v>339.5282626865431</v>
      </c>
      <c r="D107" s="47">
        <f>O22</f>
        <v>1.04</v>
      </c>
      <c r="E107" s="48">
        <f>(MAX($M$83,$M$85,$M$87,$M$89,$M$91,$M$93,$M$95))</f>
        <v>326.46948335244525</v>
      </c>
      <c r="F107" s="49"/>
      <c r="G107" s="49"/>
      <c r="H107" s="49"/>
      <c r="I107" s="49"/>
      <c r="J107" s="49"/>
      <c r="K107" s="49"/>
      <c r="L107" s="50"/>
      <c r="O107" s="13"/>
    </row>
    <row r="108" spans="1:15" ht="12.75">
      <c r="A108" s="200" t="s">
        <v>20</v>
      </c>
      <c r="B108" s="201"/>
      <c r="C108" s="25"/>
      <c r="D108" s="79">
        <v>0</v>
      </c>
      <c r="E108" s="27">
        <f>$C107/8*1</f>
        <v>42.441032835817886</v>
      </c>
      <c r="F108" s="27">
        <f>$C107/8*2</f>
        <v>84.88206567163577</v>
      </c>
      <c r="G108" s="27">
        <f>$C107/8*3</f>
        <v>127.32309850745366</v>
      </c>
      <c r="H108" s="27">
        <f>$C107/8*4</f>
        <v>169.76413134327154</v>
      </c>
      <c r="I108" s="27">
        <f>$C107/8*5</f>
        <v>212.20516417908942</v>
      </c>
      <c r="J108" s="27">
        <f>$C107/8*6</f>
        <v>254.64619701490733</v>
      </c>
      <c r="K108" s="27">
        <f>$C107/8*7</f>
        <v>297.0872298507252</v>
      </c>
      <c r="L108" s="28">
        <f>$C107/8*8</f>
        <v>339.5282626865431</v>
      </c>
      <c r="O108" s="13"/>
    </row>
    <row r="109" spans="1:15" ht="12.75">
      <c r="A109" s="195"/>
      <c r="B109" s="188"/>
      <c r="C109" s="80">
        <f aca="true" t="shared" si="5" ref="C109:C118">C119</f>
        <v>-0.1</v>
      </c>
      <c r="D109" s="43">
        <f aca="true" t="shared" si="6" ref="D109:D118">IF(C131&lt;0,E109,D$108)</f>
        <v>212.20516417908942</v>
      </c>
      <c r="E109" s="26">
        <f aca="true" t="shared" si="7" ref="E109:K118">IF($C$129&lt;D131,D109,IF(D131&lt;0,F109,E$108))</f>
        <v>212.20516417908942</v>
      </c>
      <c r="F109" s="26">
        <f t="shared" si="7"/>
        <v>212.20516417908942</v>
      </c>
      <c r="G109" s="26">
        <f t="shared" si="7"/>
        <v>212.20516417908942</v>
      </c>
      <c r="H109" s="26">
        <f t="shared" si="7"/>
        <v>212.20516417908942</v>
      </c>
      <c r="I109" s="26">
        <f t="shared" si="7"/>
        <v>212.20516417908942</v>
      </c>
      <c r="J109" s="26">
        <f t="shared" si="7"/>
        <v>254.64619701490733</v>
      </c>
      <c r="K109" s="26">
        <f t="shared" si="7"/>
        <v>297.0872298507252</v>
      </c>
      <c r="L109" s="163">
        <f aca="true" t="shared" si="8" ref="L109:L118">IF($C$129&lt;K131,K109,IF(K131&lt;0,O109,L$108))</f>
        <v>339.5282626865431</v>
      </c>
      <c r="O109" s="13"/>
    </row>
    <row r="110" spans="1:15" ht="12.75">
      <c r="A110" s="195"/>
      <c r="B110" s="188"/>
      <c r="C110" s="80">
        <f t="shared" si="5"/>
        <v>-0.05</v>
      </c>
      <c r="D110" s="43">
        <f t="shared" si="6"/>
        <v>127.32309850745366</v>
      </c>
      <c r="E110" s="26">
        <f t="shared" si="7"/>
        <v>127.32309850745366</v>
      </c>
      <c r="F110" s="26">
        <f t="shared" si="7"/>
        <v>127.32309850745366</v>
      </c>
      <c r="G110" s="26">
        <f t="shared" si="7"/>
        <v>127.32309850745366</v>
      </c>
      <c r="H110" s="26">
        <f t="shared" si="7"/>
        <v>169.76413134327154</v>
      </c>
      <c r="I110" s="26">
        <f t="shared" si="7"/>
        <v>212.20516417908942</v>
      </c>
      <c r="J110" s="26">
        <f t="shared" si="7"/>
        <v>254.64619701490733</v>
      </c>
      <c r="K110" s="26">
        <f t="shared" si="7"/>
        <v>297.0872298507252</v>
      </c>
      <c r="L110" s="163">
        <f t="shared" si="8"/>
        <v>339.5282626865431</v>
      </c>
      <c r="O110" s="11"/>
    </row>
    <row r="111" spans="1:15" ht="12.75">
      <c r="A111" s="195"/>
      <c r="B111" s="188"/>
      <c r="C111" s="80">
        <f t="shared" si="5"/>
        <v>0</v>
      </c>
      <c r="D111" s="43">
        <f t="shared" si="6"/>
        <v>0</v>
      </c>
      <c r="E111" s="26">
        <f t="shared" si="7"/>
        <v>42.441032835817886</v>
      </c>
      <c r="F111" s="26">
        <f t="shared" si="7"/>
        <v>84.88206567163577</v>
      </c>
      <c r="G111" s="26">
        <f t="shared" si="7"/>
        <v>127.32309850745366</v>
      </c>
      <c r="H111" s="26">
        <f t="shared" si="7"/>
        <v>169.76413134327154</v>
      </c>
      <c r="I111" s="26">
        <f t="shared" si="7"/>
        <v>212.20516417908942</v>
      </c>
      <c r="J111" s="26">
        <f t="shared" si="7"/>
        <v>254.64619701490733</v>
      </c>
      <c r="K111" s="26">
        <f t="shared" si="7"/>
        <v>297.0872298507252</v>
      </c>
      <c r="L111" s="163">
        <f t="shared" si="8"/>
        <v>339.5282626865431</v>
      </c>
      <c r="O111" s="11"/>
    </row>
    <row r="112" spans="1:15" ht="12.75">
      <c r="A112" s="195"/>
      <c r="B112" s="188"/>
      <c r="C112" s="80">
        <f t="shared" si="5"/>
        <v>0.05</v>
      </c>
      <c r="D112" s="43">
        <f t="shared" si="6"/>
        <v>0</v>
      </c>
      <c r="E112" s="26">
        <f t="shared" si="7"/>
        <v>42.441032835817886</v>
      </c>
      <c r="F112" s="26">
        <f t="shared" si="7"/>
        <v>84.88206567163577</v>
      </c>
      <c r="G112" s="26">
        <f t="shared" si="7"/>
        <v>127.32309850745366</v>
      </c>
      <c r="H112" s="26">
        <f t="shared" si="7"/>
        <v>169.76413134327154</v>
      </c>
      <c r="I112" s="26">
        <f t="shared" si="7"/>
        <v>212.20516417908942</v>
      </c>
      <c r="J112" s="26">
        <f t="shared" si="7"/>
        <v>254.64619701490733</v>
      </c>
      <c r="K112" s="26">
        <f t="shared" si="7"/>
        <v>297.0872298507252</v>
      </c>
      <c r="L112" s="163">
        <f t="shared" si="8"/>
        <v>339.5282626865431</v>
      </c>
      <c r="O112" s="11"/>
    </row>
    <row r="113" spans="1:15" ht="12.75">
      <c r="A113" s="195"/>
      <c r="B113" s="188"/>
      <c r="C113" s="80">
        <f t="shared" si="5"/>
        <v>0.1</v>
      </c>
      <c r="D113" s="43">
        <f t="shared" si="6"/>
        <v>0</v>
      </c>
      <c r="E113" s="26">
        <f t="shared" si="7"/>
        <v>42.441032835817886</v>
      </c>
      <c r="F113" s="26">
        <f t="shared" si="7"/>
        <v>84.88206567163577</v>
      </c>
      <c r="G113" s="26">
        <f t="shared" si="7"/>
        <v>127.32309850745366</v>
      </c>
      <c r="H113" s="26">
        <f t="shared" si="7"/>
        <v>169.76413134327154</v>
      </c>
      <c r="I113" s="26">
        <f t="shared" si="7"/>
        <v>212.20516417908942</v>
      </c>
      <c r="J113" s="26">
        <f t="shared" si="7"/>
        <v>254.64619701490733</v>
      </c>
      <c r="K113" s="26">
        <f t="shared" si="7"/>
        <v>297.0872298507252</v>
      </c>
      <c r="L113" s="163">
        <f t="shared" si="8"/>
        <v>339.5282626865431</v>
      </c>
      <c r="O113" s="11"/>
    </row>
    <row r="114" spans="1:15" ht="12.75">
      <c r="A114" s="195"/>
      <c r="B114" s="188"/>
      <c r="C114" s="80">
        <f t="shared" si="5"/>
        <v>0.2</v>
      </c>
      <c r="D114" s="43">
        <f t="shared" si="6"/>
        <v>0</v>
      </c>
      <c r="E114" s="26">
        <f t="shared" si="7"/>
        <v>42.441032835817886</v>
      </c>
      <c r="F114" s="26">
        <f t="shared" si="7"/>
        <v>84.88206567163577</v>
      </c>
      <c r="G114" s="26">
        <f t="shared" si="7"/>
        <v>127.32309850745366</v>
      </c>
      <c r="H114" s="26">
        <f t="shared" si="7"/>
        <v>169.76413134327154</v>
      </c>
      <c r="I114" s="26">
        <f t="shared" si="7"/>
        <v>212.20516417908942</v>
      </c>
      <c r="J114" s="26">
        <f t="shared" si="7"/>
        <v>254.64619701490733</v>
      </c>
      <c r="K114" s="26">
        <f t="shared" si="7"/>
        <v>297.0872298507252</v>
      </c>
      <c r="L114" s="163">
        <f t="shared" si="8"/>
        <v>339.5282626865431</v>
      </c>
      <c r="O114" s="11"/>
    </row>
    <row r="115" spans="1:15" ht="12.75">
      <c r="A115" s="195"/>
      <c r="B115" s="188"/>
      <c r="C115" s="80">
        <f t="shared" si="5"/>
        <v>0.3</v>
      </c>
      <c r="D115" s="43">
        <f t="shared" si="6"/>
        <v>0</v>
      </c>
      <c r="E115" s="26">
        <f t="shared" si="7"/>
        <v>42.441032835817886</v>
      </c>
      <c r="F115" s="26">
        <f t="shared" si="7"/>
        <v>84.88206567163577</v>
      </c>
      <c r="G115" s="26">
        <f t="shared" si="7"/>
        <v>127.32309850745366</v>
      </c>
      <c r="H115" s="26">
        <f t="shared" si="7"/>
        <v>169.76413134327154</v>
      </c>
      <c r="I115" s="26">
        <f t="shared" si="7"/>
        <v>212.20516417908942</v>
      </c>
      <c r="J115" s="26">
        <f t="shared" si="7"/>
        <v>254.64619701490733</v>
      </c>
      <c r="K115" s="26">
        <f t="shared" si="7"/>
        <v>297.0872298507252</v>
      </c>
      <c r="L115" s="163">
        <f t="shared" si="8"/>
        <v>339.5282626865431</v>
      </c>
      <c r="O115" s="11"/>
    </row>
    <row r="116" spans="1:15" ht="12.75">
      <c r="A116" s="195"/>
      <c r="B116" s="188"/>
      <c r="C116" s="80">
        <f t="shared" si="5"/>
        <v>0.5</v>
      </c>
      <c r="D116" s="43">
        <f t="shared" si="6"/>
        <v>0</v>
      </c>
      <c r="E116" s="26">
        <f t="shared" si="7"/>
        <v>42.441032835817886</v>
      </c>
      <c r="F116" s="26">
        <f t="shared" si="7"/>
        <v>84.88206567163577</v>
      </c>
      <c r="G116" s="26">
        <f t="shared" si="7"/>
        <v>127.32309850745366</v>
      </c>
      <c r="H116" s="26">
        <f t="shared" si="7"/>
        <v>169.76413134327154</v>
      </c>
      <c r="I116" s="26">
        <f t="shared" si="7"/>
        <v>212.20516417908942</v>
      </c>
      <c r="J116" s="26">
        <f t="shared" si="7"/>
        <v>254.64619701490733</v>
      </c>
      <c r="K116" s="26">
        <f t="shared" si="7"/>
        <v>297.0872298507252</v>
      </c>
      <c r="L116" s="163">
        <f t="shared" si="8"/>
        <v>339.5282626865431</v>
      </c>
      <c r="O116" s="11"/>
    </row>
    <row r="117" spans="1:15" ht="12.75">
      <c r="A117" s="195"/>
      <c r="B117" s="188"/>
      <c r="C117" s="80">
        <f t="shared" si="5"/>
        <v>0.8</v>
      </c>
      <c r="D117" s="43">
        <f t="shared" si="6"/>
        <v>0</v>
      </c>
      <c r="E117" s="26">
        <f t="shared" si="7"/>
        <v>42.441032835817886</v>
      </c>
      <c r="F117" s="26">
        <f t="shared" si="7"/>
        <v>84.88206567163577</v>
      </c>
      <c r="G117" s="26">
        <f t="shared" si="7"/>
        <v>127.32309850745366</v>
      </c>
      <c r="H117" s="26">
        <f t="shared" si="7"/>
        <v>169.76413134327154</v>
      </c>
      <c r="I117" s="26">
        <f t="shared" si="7"/>
        <v>212.20516417908942</v>
      </c>
      <c r="J117" s="26">
        <f t="shared" si="7"/>
        <v>254.64619701490733</v>
      </c>
      <c r="K117" s="26">
        <f t="shared" si="7"/>
        <v>297.0872298507252</v>
      </c>
      <c r="L117" s="163">
        <f t="shared" si="8"/>
        <v>339.5282626865431</v>
      </c>
      <c r="O117" s="11"/>
    </row>
    <row r="118" spans="1:15" ht="12.75">
      <c r="A118" s="196"/>
      <c r="B118" s="197"/>
      <c r="C118" s="81">
        <f t="shared" si="5"/>
        <v>99.99</v>
      </c>
      <c r="D118" s="51">
        <f t="shared" si="6"/>
        <v>0</v>
      </c>
      <c r="E118" s="26">
        <f t="shared" si="7"/>
        <v>42.441032835817886</v>
      </c>
      <c r="F118" s="26">
        <f t="shared" si="7"/>
        <v>84.88206567163577</v>
      </c>
      <c r="G118" s="26">
        <f t="shared" si="7"/>
        <v>127.32309850745366</v>
      </c>
      <c r="H118" s="26">
        <f t="shared" si="7"/>
        <v>169.76413134327154</v>
      </c>
      <c r="I118" s="26">
        <f t="shared" si="7"/>
        <v>212.20516417908942</v>
      </c>
      <c r="J118" s="26">
        <f t="shared" si="7"/>
        <v>212.20516417908942</v>
      </c>
      <c r="K118" s="26">
        <f t="shared" si="7"/>
        <v>212.20516417908942</v>
      </c>
      <c r="L118" s="163">
        <f t="shared" si="8"/>
        <v>212.20516417908942</v>
      </c>
      <c r="O118" s="11"/>
    </row>
    <row r="119" spans="1:15" ht="12.75">
      <c r="A119" s="187" t="s">
        <v>50</v>
      </c>
      <c r="B119" s="188"/>
      <c r="C119" s="80">
        <f>T24</f>
        <v>-0.1</v>
      </c>
      <c r="D119" s="43">
        <f aca="true" t="shared" si="9" ref="D119:D128">IF($C$129&lt;C131,"",IF(C131&lt;0,E119,C131))</f>
        <v>391.5638004722948</v>
      </c>
      <c r="E119" s="76">
        <f aca="true" t="shared" si="10" ref="E119:K128">IF($C$129&lt;D131,D119,IF(D131&lt;0,F119,D131))</f>
        <v>391.5638004722948</v>
      </c>
      <c r="F119" s="77">
        <f t="shared" si="10"/>
        <v>391.5638004722948</v>
      </c>
      <c r="G119" s="77">
        <f t="shared" si="10"/>
        <v>391.5638004722948</v>
      </c>
      <c r="H119" s="77">
        <f t="shared" si="10"/>
        <v>391.5638004722948</v>
      </c>
      <c r="I119" s="77">
        <f t="shared" si="10"/>
        <v>391.5638004722948</v>
      </c>
      <c r="J119" s="77">
        <f t="shared" si="10"/>
        <v>1076.517689675098</v>
      </c>
      <c r="K119" s="77">
        <f t="shared" si="10"/>
        <v>1886.0086496420447</v>
      </c>
      <c r="L119" s="164">
        <f aca="true" t="shared" si="11" ref="L119:L128">IF($C$129&lt;K131,K119,IF(K131&lt;0,O119,K131))</f>
        <v>2820.0366803731404</v>
      </c>
      <c r="O119" s="11"/>
    </row>
    <row r="120" spans="1:15" ht="12.75">
      <c r="A120" s="195"/>
      <c r="B120" s="188"/>
      <c r="C120" s="80">
        <f>T23</f>
        <v>-0.05</v>
      </c>
      <c r="D120" s="43">
        <f t="shared" si="9"/>
        <v>87.04782032831815</v>
      </c>
      <c r="E120" s="29">
        <f t="shared" si="10"/>
        <v>87.04782032831815</v>
      </c>
      <c r="F120" s="26">
        <f t="shared" si="10"/>
        <v>87.04782032831815</v>
      </c>
      <c r="G120" s="26">
        <f t="shared" si="10"/>
        <v>87.04782032831815</v>
      </c>
      <c r="H120" s="26">
        <f t="shared" si="10"/>
        <v>522.9275680028287</v>
      </c>
      <c r="I120" s="26">
        <f t="shared" si="10"/>
        <v>1083.3443864414853</v>
      </c>
      <c r="J120" s="26">
        <f t="shared" si="10"/>
        <v>1768.298275644288</v>
      </c>
      <c r="K120" s="26">
        <f t="shared" si="10"/>
        <v>2577.7892356112347</v>
      </c>
      <c r="L120" s="163">
        <f t="shared" si="11"/>
        <v>3511.8172663423306</v>
      </c>
      <c r="O120" s="11"/>
    </row>
    <row r="121" spans="1:15" ht="12.75">
      <c r="A121" s="195"/>
      <c r="B121" s="188"/>
      <c r="C121" s="80">
        <f>T22</f>
        <v>0</v>
      </c>
      <c r="D121" s="43">
        <f t="shared" si="9"/>
        <v>223.04016000000001</v>
      </c>
      <c r="E121" s="29">
        <f t="shared" si="10"/>
        <v>285.308695382073</v>
      </c>
      <c r="F121" s="26">
        <f t="shared" si="10"/>
        <v>472.11430152829183</v>
      </c>
      <c r="G121" s="26">
        <f t="shared" si="10"/>
        <v>783.4569784386567</v>
      </c>
      <c r="H121" s="26">
        <f t="shared" si="10"/>
        <v>1219.3367261131673</v>
      </c>
      <c r="I121" s="26">
        <f t="shared" si="10"/>
        <v>1779.7535445518238</v>
      </c>
      <c r="J121" s="26">
        <f t="shared" si="10"/>
        <v>2464.707433754627</v>
      </c>
      <c r="K121" s="26">
        <f t="shared" si="10"/>
        <v>3274.1983937215737</v>
      </c>
      <c r="L121" s="163">
        <f t="shared" si="11"/>
        <v>4208.226424452669</v>
      </c>
      <c r="O121" s="11"/>
    </row>
    <row r="122" spans="1:15" ht="12.75">
      <c r="A122" s="195"/>
      <c r="B122" s="188"/>
      <c r="C122" s="80">
        <f>T21</f>
        <v>0.05</v>
      </c>
      <c r="D122" s="43">
        <f t="shared" si="9"/>
        <v>918.892761037716</v>
      </c>
      <c r="E122" s="29">
        <f t="shared" si="10"/>
        <v>981.1612964197889</v>
      </c>
      <c r="F122" s="26">
        <f t="shared" si="10"/>
        <v>1167.9669025660078</v>
      </c>
      <c r="G122" s="26">
        <f t="shared" si="10"/>
        <v>1479.3095794763726</v>
      </c>
      <c r="H122" s="26">
        <f t="shared" si="10"/>
        <v>1915.1893271508834</v>
      </c>
      <c r="I122" s="26">
        <f t="shared" si="10"/>
        <v>2475.6061455895397</v>
      </c>
      <c r="J122" s="26">
        <f t="shared" si="10"/>
        <v>3160.560034792343</v>
      </c>
      <c r="K122" s="26">
        <f t="shared" si="10"/>
        <v>3970.0509947592896</v>
      </c>
      <c r="L122" s="163">
        <f t="shared" si="11"/>
        <v>4904.079025490385</v>
      </c>
      <c r="O122" s="11"/>
    </row>
    <row r="123" spans="1:15" ht="12.75">
      <c r="A123" s="195"/>
      <c r="B123" s="188"/>
      <c r="C123" s="80">
        <f>T20</f>
        <v>0.1</v>
      </c>
      <c r="D123" s="43">
        <f t="shared" si="9"/>
        <v>1609.0160923003018</v>
      </c>
      <c r="E123" s="29">
        <f t="shared" si="10"/>
        <v>1671.2846276823748</v>
      </c>
      <c r="F123" s="26">
        <f t="shared" si="10"/>
        <v>1858.0902338285935</v>
      </c>
      <c r="G123" s="26">
        <f t="shared" si="10"/>
        <v>2169.4329107389585</v>
      </c>
      <c r="H123" s="26">
        <f t="shared" si="10"/>
        <v>2605.312658413469</v>
      </c>
      <c r="I123" s="26">
        <f t="shared" si="10"/>
        <v>3165.729476852125</v>
      </c>
      <c r="J123" s="26">
        <f t="shared" si="10"/>
        <v>3850.6833660549282</v>
      </c>
      <c r="K123" s="26">
        <f t="shared" si="10"/>
        <v>4660.1743260218755</v>
      </c>
      <c r="L123" s="163">
        <f t="shared" si="11"/>
        <v>5594.202356752971</v>
      </c>
      <c r="O123" s="11"/>
    </row>
    <row r="124" spans="1:15" ht="12.75">
      <c r="A124" s="195"/>
      <c r="B124" s="188"/>
      <c r="C124" s="80">
        <f>T19</f>
        <v>0.2</v>
      </c>
      <c r="D124" s="43">
        <f t="shared" si="9"/>
        <v>2952.569755786648</v>
      </c>
      <c r="E124" s="29">
        <f t="shared" si="10"/>
        <v>3014.838291168721</v>
      </c>
      <c r="F124" s="26">
        <f t="shared" si="10"/>
        <v>3201.6438973149397</v>
      </c>
      <c r="G124" s="26">
        <f t="shared" si="10"/>
        <v>3512.9865742253046</v>
      </c>
      <c r="H124" s="26">
        <f t="shared" si="10"/>
        <v>3948.8663218998154</v>
      </c>
      <c r="I124" s="26">
        <f t="shared" si="10"/>
        <v>4509.283140338472</v>
      </c>
      <c r="J124" s="26">
        <f t="shared" si="10"/>
        <v>5194.237029541275</v>
      </c>
      <c r="K124" s="26">
        <f t="shared" si="10"/>
        <v>6003.727989508221</v>
      </c>
      <c r="L124" s="163">
        <f t="shared" si="11"/>
        <v>6937.756020239316</v>
      </c>
      <c r="O124" s="11"/>
    </row>
    <row r="125" spans="1:15" ht="12.75">
      <c r="A125" s="195"/>
      <c r="B125" s="188"/>
      <c r="C125" s="80">
        <f>T18</f>
        <v>0.3</v>
      </c>
      <c r="D125" s="43">
        <f t="shared" si="9"/>
        <v>4219.266126181643</v>
      </c>
      <c r="E125" s="29">
        <f t="shared" si="10"/>
        <v>4281.534661563715</v>
      </c>
      <c r="F125" s="26">
        <f t="shared" si="10"/>
        <v>4468.340267709935</v>
      </c>
      <c r="G125" s="26">
        <f t="shared" si="10"/>
        <v>4779.682944620299</v>
      </c>
      <c r="H125" s="26">
        <f t="shared" si="10"/>
        <v>5215.5626922948095</v>
      </c>
      <c r="I125" s="26">
        <f t="shared" si="10"/>
        <v>5775.979510733467</v>
      </c>
      <c r="J125" s="26">
        <f t="shared" si="10"/>
        <v>6460.93339993627</v>
      </c>
      <c r="K125" s="26">
        <f t="shared" si="10"/>
        <v>7270.424359903216</v>
      </c>
      <c r="L125" s="163">
        <f t="shared" si="11"/>
        <v>8204.452390634313</v>
      </c>
      <c r="O125" s="11"/>
    </row>
    <row r="126" spans="1:15" ht="12.75">
      <c r="A126" s="195"/>
      <c r="B126" s="188"/>
      <c r="C126" s="80">
        <f>T17</f>
        <v>0.5</v>
      </c>
      <c r="D126" s="43">
        <f t="shared" si="9"/>
        <v>6433.6551771943405</v>
      </c>
      <c r="E126" s="29">
        <f t="shared" si="10"/>
        <v>6495.923712576414</v>
      </c>
      <c r="F126" s="26">
        <f t="shared" si="10"/>
        <v>6682.729318722632</v>
      </c>
      <c r="G126" s="26">
        <f t="shared" si="10"/>
        <v>6994.071995632998</v>
      </c>
      <c r="H126" s="26">
        <f t="shared" si="10"/>
        <v>7429.951743307508</v>
      </c>
      <c r="I126" s="26">
        <f t="shared" si="10"/>
        <v>7990.368561746164</v>
      </c>
      <c r="J126" s="26">
        <f t="shared" si="10"/>
        <v>8675.322450948966</v>
      </c>
      <c r="K126" s="26">
        <f t="shared" si="10"/>
        <v>9484.813410915915</v>
      </c>
      <c r="L126" s="163">
        <f t="shared" si="11"/>
        <v>10418.84144164701</v>
      </c>
      <c r="O126" s="11"/>
    </row>
    <row r="127" spans="1:15" ht="12.75">
      <c r="A127" s="195"/>
      <c r="B127" s="188"/>
      <c r="C127" s="80">
        <f>T16</f>
        <v>0.8</v>
      </c>
      <c r="D127" s="43">
        <f t="shared" si="9"/>
        <v>8882.420314056333</v>
      </c>
      <c r="E127" s="29">
        <f t="shared" si="10"/>
        <v>8944.688849438406</v>
      </c>
      <c r="F127" s="26">
        <f t="shared" si="10"/>
        <v>9131.494455584625</v>
      </c>
      <c r="G127" s="26">
        <f t="shared" si="10"/>
        <v>9442.83713249499</v>
      </c>
      <c r="H127" s="26">
        <f t="shared" si="10"/>
        <v>9878.7168801695</v>
      </c>
      <c r="I127" s="26">
        <f t="shared" si="10"/>
        <v>10439.133698608157</v>
      </c>
      <c r="J127" s="26">
        <f t="shared" si="10"/>
        <v>11124.08758781096</v>
      </c>
      <c r="K127" s="26">
        <f t="shared" si="10"/>
        <v>11933.578547777906</v>
      </c>
      <c r="L127" s="163">
        <f t="shared" si="11"/>
        <v>12867.606578509001</v>
      </c>
      <c r="O127" s="11"/>
    </row>
    <row r="128" spans="1:15" ht="12.75">
      <c r="A128" s="196"/>
      <c r="B128" s="197"/>
      <c r="C128" s="80">
        <f>T15</f>
        <v>99.99</v>
      </c>
      <c r="D128" s="43">
        <f t="shared" si="9"/>
        <v>13941.543425487873</v>
      </c>
      <c r="E128" s="29">
        <f t="shared" si="10"/>
        <v>14003.811960869945</v>
      </c>
      <c r="F128" s="26">
        <f t="shared" si="10"/>
        <v>14190.617567016165</v>
      </c>
      <c r="G128" s="26">
        <f t="shared" si="10"/>
        <v>14501.960243926529</v>
      </c>
      <c r="H128" s="26">
        <f t="shared" si="10"/>
        <v>14937.83999160104</v>
      </c>
      <c r="I128" s="26">
        <f t="shared" si="10"/>
        <v>15498.256810039697</v>
      </c>
      <c r="J128" s="26">
        <f t="shared" si="10"/>
        <v>15498.256810039697</v>
      </c>
      <c r="K128" s="26">
        <f t="shared" si="10"/>
        <v>15498.256810039697</v>
      </c>
      <c r="L128" s="163">
        <f t="shared" si="11"/>
        <v>15498.256810039697</v>
      </c>
      <c r="O128" s="11"/>
    </row>
    <row r="129" spans="1:15" ht="13.5" thickBot="1">
      <c r="A129" s="198" t="s">
        <v>30</v>
      </c>
      <c r="B129" s="199"/>
      <c r="C129" s="82">
        <f>D129*E129</f>
        <v>15538.051779254141</v>
      </c>
      <c r="D129" s="44">
        <f>O10</f>
        <v>1.02</v>
      </c>
      <c r="E129" s="30">
        <f>MAX(C83:M96)</f>
        <v>15233.384097307982</v>
      </c>
      <c r="F129" s="30"/>
      <c r="G129" s="30"/>
      <c r="H129" s="30"/>
      <c r="I129" s="78"/>
      <c r="J129" s="78"/>
      <c r="K129" s="78"/>
      <c r="L129" s="31"/>
      <c r="O129" s="11"/>
    </row>
    <row r="130" ht="13.5" thickBot="1"/>
    <row r="131" spans="1:11" ht="12.75" customHeight="1">
      <c r="A131" s="243" t="s">
        <v>51</v>
      </c>
      <c r="B131" s="244"/>
      <c r="C131" s="85">
        <f aca="true" t="shared" si="12" ref="C131:K131">1.293/2*(D$108/3.6)^2*$N$4*$L$4+$I$4*9.81*$G$4*COS(ATAN($C119))+$I$4*9.81*SIN(ATAN($C119))</f>
        <v>-1165.1495840795287</v>
      </c>
      <c r="D131" s="86">
        <f t="shared" si="12"/>
        <v>-1102.8810486974558</v>
      </c>
      <c r="E131" s="86">
        <f t="shared" si="12"/>
        <v>-916.0754425512371</v>
      </c>
      <c r="F131" s="86">
        <f t="shared" si="12"/>
        <v>-604.7327656408721</v>
      </c>
      <c r="G131" s="86">
        <f t="shared" si="12"/>
        <v>-168.85301796636145</v>
      </c>
      <c r="H131" s="86">
        <f t="shared" si="12"/>
        <v>391.5638004722948</v>
      </c>
      <c r="I131" s="86">
        <f t="shared" si="12"/>
        <v>1076.517689675098</v>
      </c>
      <c r="J131" s="86">
        <f t="shared" si="12"/>
        <v>1886.0086496420447</v>
      </c>
      <c r="K131" s="87">
        <f t="shared" si="12"/>
        <v>2820.0366803731404</v>
      </c>
    </row>
    <row r="132" spans="1:11" ht="12.75">
      <c r="A132" s="245"/>
      <c r="B132" s="246"/>
      <c r="C132" s="83">
        <f aca="true" t="shared" si="13" ref="C132:K132">1.293/2*(D$108/3.6)^2*$N$4*$L$4+$I$4*9.81*$G$4*COS(ATAN($C120))+$I$4*9.81*SIN(ATAN($C120))</f>
        <v>-473.36899811033857</v>
      </c>
      <c r="D132" s="84">
        <f t="shared" si="13"/>
        <v>-411.10046272826565</v>
      </c>
      <c r="E132" s="84">
        <f t="shared" si="13"/>
        <v>-224.2948565820468</v>
      </c>
      <c r="F132" s="84">
        <f t="shared" si="13"/>
        <v>87.04782032831815</v>
      </c>
      <c r="G132" s="84">
        <f t="shared" si="13"/>
        <v>522.9275680028287</v>
      </c>
      <c r="H132" s="84">
        <f t="shared" si="13"/>
        <v>1083.3443864414853</v>
      </c>
      <c r="I132" s="84">
        <f t="shared" si="13"/>
        <v>1768.298275644288</v>
      </c>
      <c r="J132" s="84">
        <f t="shared" si="13"/>
        <v>2577.7892356112347</v>
      </c>
      <c r="K132" s="88">
        <f t="shared" si="13"/>
        <v>3511.8172663423306</v>
      </c>
    </row>
    <row r="133" spans="1:11" ht="12.75">
      <c r="A133" s="245"/>
      <c r="B133" s="246"/>
      <c r="C133" s="83">
        <f aca="true" t="shared" si="14" ref="C133:K133">1.293/2*(D$108/3.6)^2*$N$4*$L$4+$I$4*9.81*$G$4*COS(ATAN($C121))+$I$4*9.81*SIN(ATAN($C121))</f>
        <v>223.04016000000001</v>
      </c>
      <c r="D133" s="84">
        <f t="shared" si="14"/>
        <v>285.308695382073</v>
      </c>
      <c r="E133" s="84">
        <f t="shared" si="14"/>
        <v>472.11430152829183</v>
      </c>
      <c r="F133" s="84">
        <f t="shared" si="14"/>
        <v>783.4569784386567</v>
      </c>
      <c r="G133" s="84">
        <f t="shared" si="14"/>
        <v>1219.3367261131673</v>
      </c>
      <c r="H133" s="84">
        <f t="shared" si="14"/>
        <v>1779.7535445518238</v>
      </c>
      <c r="I133" s="84">
        <f t="shared" si="14"/>
        <v>2464.707433754627</v>
      </c>
      <c r="J133" s="84">
        <f t="shared" si="14"/>
        <v>3274.1983937215737</v>
      </c>
      <c r="K133" s="88">
        <f t="shared" si="14"/>
        <v>4208.226424452669</v>
      </c>
    </row>
    <row r="134" spans="1:11" ht="12.75">
      <c r="A134" s="245"/>
      <c r="B134" s="246"/>
      <c r="C134" s="83">
        <f aca="true" t="shared" si="15" ref="C134:K134">1.293/2*(D$108/3.6)^2*$N$4*$L$4+$I$4*9.81*$G$4*COS(ATAN($C122))+$I$4*9.81*SIN(ATAN($C122))</f>
        <v>918.892761037716</v>
      </c>
      <c r="D134" s="84">
        <f t="shared" si="15"/>
        <v>981.1612964197889</v>
      </c>
      <c r="E134" s="84">
        <f t="shared" si="15"/>
        <v>1167.9669025660078</v>
      </c>
      <c r="F134" s="84">
        <f t="shared" si="15"/>
        <v>1479.3095794763726</v>
      </c>
      <c r="G134" s="84">
        <f t="shared" si="15"/>
        <v>1915.1893271508834</v>
      </c>
      <c r="H134" s="84">
        <f t="shared" si="15"/>
        <v>2475.6061455895397</v>
      </c>
      <c r="I134" s="84">
        <f t="shared" si="15"/>
        <v>3160.560034792343</v>
      </c>
      <c r="J134" s="84">
        <f t="shared" si="15"/>
        <v>3970.0509947592896</v>
      </c>
      <c r="K134" s="88">
        <f t="shared" si="15"/>
        <v>4904.079025490385</v>
      </c>
    </row>
    <row r="135" spans="1:11" ht="12.75">
      <c r="A135" s="245"/>
      <c r="B135" s="246"/>
      <c r="C135" s="83">
        <f aca="true" t="shared" si="16" ref="C135:K135">1.293/2*(D$108/3.6)^2*$N$4*$L$4+$I$4*9.81*$G$4*COS(ATAN($C123))+$I$4*9.81*SIN(ATAN($C123))</f>
        <v>1609.0160923003018</v>
      </c>
      <c r="D135" s="84">
        <f t="shared" si="16"/>
        <v>1671.2846276823748</v>
      </c>
      <c r="E135" s="84">
        <f t="shared" si="16"/>
        <v>1858.0902338285935</v>
      </c>
      <c r="F135" s="84">
        <f t="shared" si="16"/>
        <v>2169.4329107389585</v>
      </c>
      <c r="G135" s="84">
        <f t="shared" si="16"/>
        <v>2605.312658413469</v>
      </c>
      <c r="H135" s="84">
        <f t="shared" si="16"/>
        <v>3165.729476852125</v>
      </c>
      <c r="I135" s="84">
        <f t="shared" si="16"/>
        <v>3850.6833660549282</v>
      </c>
      <c r="J135" s="84">
        <f t="shared" si="16"/>
        <v>4660.1743260218755</v>
      </c>
      <c r="K135" s="88">
        <f t="shared" si="16"/>
        <v>5594.202356752971</v>
      </c>
    </row>
    <row r="136" spans="1:11" ht="12.75">
      <c r="A136" s="245"/>
      <c r="B136" s="246"/>
      <c r="C136" s="83">
        <f aca="true" t="shared" si="17" ref="C136:K136">1.293/2*(D$108/3.6)^2*$N$4*$L$4+$I$4*9.81*$G$4*COS(ATAN($C124))+$I$4*9.81*SIN(ATAN($C124))</f>
        <v>2952.569755786648</v>
      </c>
      <c r="D136" s="84">
        <f t="shared" si="17"/>
        <v>3014.838291168721</v>
      </c>
      <c r="E136" s="84">
        <f t="shared" si="17"/>
        <v>3201.6438973149397</v>
      </c>
      <c r="F136" s="84">
        <f t="shared" si="17"/>
        <v>3512.9865742253046</v>
      </c>
      <c r="G136" s="84">
        <f t="shared" si="17"/>
        <v>3948.8663218998154</v>
      </c>
      <c r="H136" s="84">
        <f t="shared" si="17"/>
        <v>4509.283140338472</v>
      </c>
      <c r="I136" s="84">
        <f t="shared" si="17"/>
        <v>5194.237029541275</v>
      </c>
      <c r="J136" s="84">
        <f t="shared" si="17"/>
        <v>6003.727989508221</v>
      </c>
      <c r="K136" s="88">
        <f t="shared" si="17"/>
        <v>6937.756020239316</v>
      </c>
    </row>
    <row r="137" spans="1:11" ht="12.75">
      <c r="A137" s="245"/>
      <c r="B137" s="246"/>
      <c r="C137" s="83">
        <f aca="true" t="shared" si="18" ref="C137:K137">1.293/2*(D$108/3.6)^2*$N$4*$L$4+$I$4*9.81*$G$4*COS(ATAN($C125))+$I$4*9.81*SIN(ATAN($C125))</f>
        <v>4219.266126181643</v>
      </c>
      <c r="D137" s="84">
        <f t="shared" si="18"/>
        <v>4281.534661563715</v>
      </c>
      <c r="E137" s="84">
        <f t="shared" si="18"/>
        <v>4468.340267709935</v>
      </c>
      <c r="F137" s="84">
        <f t="shared" si="18"/>
        <v>4779.682944620299</v>
      </c>
      <c r="G137" s="84">
        <f t="shared" si="18"/>
        <v>5215.5626922948095</v>
      </c>
      <c r="H137" s="84">
        <f t="shared" si="18"/>
        <v>5775.979510733467</v>
      </c>
      <c r="I137" s="84">
        <f t="shared" si="18"/>
        <v>6460.93339993627</v>
      </c>
      <c r="J137" s="84">
        <f t="shared" si="18"/>
        <v>7270.424359903216</v>
      </c>
      <c r="K137" s="88">
        <f t="shared" si="18"/>
        <v>8204.452390634313</v>
      </c>
    </row>
    <row r="138" spans="1:11" ht="12.75">
      <c r="A138" s="245"/>
      <c r="B138" s="246"/>
      <c r="C138" s="83">
        <f aca="true" t="shared" si="19" ref="C138:K138">1.293/2*(D$108/3.6)^2*$N$4*$L$4+$I$4*9.81*$G$4*COS(ATAN($C126))+$I$4*9.81*SIN(ATAN($C126))</f>
        <v>6433.6551771943405</v>
      </c>
      <c r="D138" s="84">
        <f t="shared" si="19"/>
        <v>6495.923712576414</v>
      </c>
      <c r="E138" s="84">
        <f t="shared" si="19"/>
        <v>6682.729318722632</v>
      </c>
      <c r="F138" s="84">
        <f t="shared" si="19"/>
        <v>6994.071995632998</v>
      </c>
      <c r="G138" s="84">
        <f t="shared" si="19"/>
        <v>7429.951743307508</v>
      </c>
      <c r="H138" s="84">
        <f t="shared" si="19"/>
        <v>7990.368561746164</v>
      </c>
      <c r="I138" s="84">
        <f t="shared" si="19"/>
        <v>8675.322450948966</v>
      </c>
      <c r="J138" s="84">
        <f t="shared" si="19"/>
        <v>9484.813410915915</v>
      </c>
      <c r="K138" s="88">
        <f t="shared" si="19"/>
        <v>10418.84144164701</v>
      </c>
    </row>
    <row r="139" spans="1:11" ht="12.75">
      <c r="A139" s="245"/>
      <c r="B139" s="246"/>
      <c r="C139" s="83">
        <f aca="true" t="shared" si="20" ref="C139:K139">1.293/2*(D$108/3.6)^2*$N$4*$L$4+$I$4*9.81*$G$4*COS(ATAN($C127))+$I$4*9.81*SIN(ATAN($C127))</f>
        <v>8882.420314056333</v>
      </c>
      <c r="D139" s="84">
        <f t="shared" si="20"/>
        <v>8944.688849438406</v>
      </c>
      <c r="E139" s="84">
        <f t="shared" si="20"/>
        <v>9131.494455584625</v>
      </c>
      <c r="F139" s="84">
        <f t="shared" si="20"/>
        <v>9442.83713249499</v>
      </c>
      <c r="G139" s="84">
        <f t="shared" si="20"/>
        <v>9878.7168801695</v>
      </c>
      <c r="H139" s="84">
        <f t="shared" si="20"/>
        <v>10439.133698608157</v>
      </c>
      <c r="I139" s="84">
        <f t="shared" si="20"/>
        <v>11124.08758781096</v>
      </c>
      <c r="J139" s="84">
        <f t="shared" si="20"/>
        <v>11933.578547777906</v>
      </c>
      <c r="K139" s="88">
        <f t="shared" si="20"/>
        <v>12867.606578509001</v>
      </c>
    </row>
    <row r="140" spans="1:11" ht="13.5" thickBot="1">
      <c r="A140" s="247"/>
      <c r="B140" s="248"/>
      <c r="C140" s="89">
        <f aca="true" t="shared" si="21" ref="C140:K140">1.293/2*(D$108/3.6)^2*$N$4*$L$4+$I$4*9.81*$G$4*COS(ATAN($C128))+$I$4*9.81*SIN(ATAN($C128))</f>
        <v>13941.543425487873</v>
      </c>
      <c r="D140" s="90">
        <f t="shared" si="21"/>
        <v>14003.811960869945</v>
      </c>
      <c r="E140" s="90">
        <f t="shared" si="21"/>
        <v>14190.617567016165</v>
      </c>
      <c r="F140" s="90">
        <f t="shared" si="21"/>
        <v>14501.960243926529</v>
      </c>
      <c r="G140" s="90">
        <f t="shared" si="21"/>
        <v>14937.83999160104</v>
      </c>
      <c r="H140" s="90">
        <f t="shared" si="21"/>
        <v>15498.256810039697</v>
      </c>
      <c r="I140" s="90">
        <f t="shared" si="21"/>
        <v>16183.2106992425</v>
      </c>
      <c r="J140" s="90">
        <f t="shared" si="21"/>
        <v>16992.701659209448</v>
      </c>
      <c r="K140" s="91">
        <f t="shared" si="21"/>
        <v>17926.72968994054</v>
      </c>
    </row>
    <row r="141" ht="12.75"/>
    <row r="142" ht="13.5" thickBot="1"/>
    <row r="143" spans="1:12" ht="12.75">
      <c r="A143" s="182" t="s">
        <v>76</v>
      </c>
      <c r="B143" s="166">
        <f>'Leistung u. Drehmoment'!C5</f>
        <v>26</v>
      </c>
      <c r="C143" s="166">
        <f>'Leistung u. Drehmoment'!D5</f>
        <v>60.73298429319372</v>
      </c>
      <c r="D143" s="166">
        <f>'Leistung u. Drehmoment'!E5</f>
        <v>102.09424083769633</v>
      </c>
      <c r="E143" s="166">
        <f>'Leistung u. Drehmoment'!F5</f>
        <v>148.6910994764398</v>
      </c>
      <c r="F143" s="166">
        <f>'Leistung u. Drehmoment'!G5</f>
        <v>189.84293193717278</v>
      </c>
      <c r="G143" s="166">
        <f>'Leistung u. Drehmoment'!H5</f>
        <v>226.17801047120417</v>
      </c>
      <c r="H143" s="166">
        <f>'Leistung u. Drehmoment'!I5</f>
        <v>252.87958115183247</v>
      </c>
      <c r="I143" s="166">
        <f>'Leistung u. Drehmoment'!J5</f>
        <v>265</v>
      </c>
      <c r="J143" s="166">
        <f>'Leistung u. Drehmoment'!K5</f>
        <v>264</v>
      </c>
      <c r="K143" s="166">
        <f>'Leistung u. Drehmoment'!L5</f>
        <v>264</v>
      </c>
      <c r="L143" s="167">
        <f>MAX(B143:K143)</f>
        <v>265</v>
      </c>
    </row>
    <row r="144" spans="1:12" ht="12.75">
      <c r="A144" s="183" t="s">
        <v>69</v>
      </c>
      <c r="B144" s="177">
        <f>'Leistung u. Drehmoment'!C4</f>
        <v>248.3</v>
      </c>
      <c r="C144" s="177">
        <f>'Leistung u. Drehmoment'!D4</f>
        <v>290</v>
      </c>
      <c r="D144" s="177">
        <f>'Leistung u. Drehmoment'!E4</f>
        <v>325</v>
      </c>
      <c r="E144" s="177">
        <f>'Leistung u. Drehmoment'!F4</f>
        <v>355</v>
      </c>
      <c r="F144" s="177">
        <f>'Leistung u. Drehmoment'!G4</f>
        <v>370</v>
      </c>
      <c r="G144" s="177">
        <f>'Leistung u. Drehmoment'!H4</f>
        <v>360</v>
      </c>
      <c r="H144" s="177">
        <f>'Leistung u. Drehmoment'!I4</f>
        <v>345</v>
      </c>
      <c r="I144" s="177">
        <f>'Leistung u. Drehmoment'!J4</f>
        <v>320.3481012658228</v>
      </c>
      <c r="J144" s="177">
        <f>'Leistung u. Drehmoment'!K4</f>
        <v>315.15</v>
      </c>
      <c r="K144" s="177">
        <f>'Leistung u. Drehmoment'!L4</f>
        <v>315.15</v>
      </c>
      <c r="L144" s="178">
        <f>HLOOKUP(L143,B143:K145,2,FALSE)</f>
        <v>320.3481012658228</v>
      </c>
    </row>
    <row r="145" spans="1:12" ht="13.5" thickBot="1">
      <c r="A145" s="184" t="s">
        <v>77</v>
      </c>
      <c r="B145" s="90">
        <f>'Leistung u. Drehmoment'!C1</f>
        <v>1000</v>
      </c>
      <c r="C145" s="90">
        <f>'Leistung u. Drehmoment'!D1</f>
        <v>2000</v>
      </c>
      <c r="D145" s="90">
        <f>'Leistung u. Drehmoment'!E1</f>
        <v>3000</v>
      </c>
      <c r="E145" s="90">
        <f>'Leistung u. Drehmoment'!F1</f>
        <v>4000</v>
      </c>
      <c r="F145" s="90">
        <f>'Leistung u. Drehmoment'!G1</f>
        <v>4900</v>
      </c>
      <c r="G145" s="90">
        <f>'Leistung u. Drehmoment'!H1</f>
        <v>6000</v>
      </c>
      <c r="H145" s="90">
        <f>'Leistung u. Drehmoment'!I1</f>
        <v>7000</v>
      </c>
      <c r="I145" s="90">
        <f>'Leistung u. Drehmoment'!J1</f>
        <v>7900</v>
      </c>
      <c r="J145" s="90">
        <f>'Leistung u. Drehmoment'!K1</f>
        <v>8000</v>
      </c>
      <c r="K145" s="90">
        <f>'Leistung u. Drehmoment'!L1</f>
        <v>0</v>
      </c>
      <c r="L145" s="181">
        <f>HLOOKUP(L143,B143:K145,3,FALSE)</f>
        <v>7900</v>
      </c>
    </row>
    <row r="146" ht="13.5" thickBot="1"/>
    <row r="147" spans="1:11" ht="12.75">
      <c r="A147" s="175" t="s">
        <v>78</v>
      </c>
      <c r="B147" s="166">
        <f>MIN(M99:M105)/Q10</f>
        <v>58.136381318326904</v>
      </c>
      <c r="C147" s="166">
        <f aca="true" t="shared" si="22" ref="C147:J147">B147+($K147-$B147)/9</f>
        <v>87.95117043322894</v>
      </c>
      <c r="D147" s="166">
        <f t="shared" si="22"/>
        <v>117.76595954813098</v>
      </c>
      <c r="E147" s="166">
        <f t="shared" si="22"/>
        <v>147.580748663033</v>
      </c>
      <c r="F147" s="166">
        <f t="shared" si="22"/>
        <v>177.39553777793503</v>
      </c>
      <c r="G147" s="166">
        <f t="shared" si="22"/>
        <v>207.21032689283706</v>
      </c>
      <c r="H147" s="166">
        <f t="shared" si="22"/>
        <v>237.0251160077391</v>
      </c>
      <c r="I147" s="166">
        <f t="shared" si="22"/>
        <v>266.83990512264114</v>
      </c>
      <c r="J147" s="166">
        <f t="shared" si="22"/>
        <v>296.6546942375432</v>
      </c>
      <c r="K147" s="167">
        <f>MAX(M99:M105)</f>
        <v>326.46948335244525</v>
      </c>
    </row>
    <row r="148" spans="1:11" ht="12.75">
      <c r="A148" s="176" t="s">
        <v>79</v>
      </c>
      <c r="B148" s="177">
        <f aca="true" t="shared" si="23" ref="B148:K148">3600*$L$143/B147*$B$149</f>
        <v>15599.051393212836</v>
      </c>
      <c r="C148" s="177">
        <f t="shared" si="23"/>
        <v>10311.089614077193</v>
      </c>
      <c r="D148" s="177">
        <f t="shared" si="23"/>
        <v>7700.632708124464</v>
      </c>
      <c r="E148" s="177">
        <f t="shared" si="23"/>
        <v>6144.923428127041</v>
      </c>
      <c r="F148" s="177">
        <f t="shared" si="23"/>
        <v>5112.148881305173</v>
      </c>
      <c r="G148" s="177">
        <f t="shared" si="23"/>
        <v>4376.579167644512</v>
      </c>
      <c r="H148" s="177">
        <f t="shared" si="23"/>
        <v>3826.0603571243046</v>
      </c>
      <c r="I148" s="177">
        <f t="shared" si="23"/>
        <v>3398.563642807459</v>
      </c>
      <c r="J148" s="177">
        <f t="shared" si="23"/>
        <v>3056.9966281195307</v>
      </c>
      <c r="K148" s="178">
        <f t="shared" si="23"/>
        <v>2777.8167523883744</v>
      </c>
    </row>
    <row r="149" spans="1:11" ht="13.5" thickBot="1">
      <c r="A149" s="179" t="s">
        <v>80</v>
      </c>
      <c r="B149" s="180">
        <f>C8*E8*MAX(F8:L8)</f>
        <v>0.9506</v>
      </c>
      <c r="C149" s="180"/>
      <c r="D149" s="180"/>
      <c r="E149" s="180"/>
      <c r="F149" s="180"/>
      <c r="G149" s="180"/>
      <c r="H149" s="180"/>
      <c r="I149" s="180"/>
      <c r="J149" s="180"/>
      <c r="K149" s="181"/>
    </row>
  </sheetData>
  <mergeCells count="53">
    <mergeCell ref="F98:G98"/>
    <mergeCell ref="C52:E52"/>
    <mergeCell ref="C53:E53"/>
    <mergeCell ref="C54:E54"/>
    <mergeCell ref="D73:E73"/>
    <mergeCell ref="A131:B140"/>
    <mergeCell ref="D61:E61"/>
    <mergeCell ref="D62:E62"/>
    <mergeCell ref="D63:E63"/>
    <mergeCell ref="D64:E64"/>
    <mergeCell ref="D67:E67"/>
    <mergeCell ref="A83:B83"/>
    <mergeCell ref="D68:E68"/>
    <mergeCell ref="D69:E69"/>
    <mergeCell ref="D70:E70"/>
    <mergeCell ref="A84:B84"/>
    <mergeCell ref="D57:E57"/>
    <mergeCell ref="D58:E58"/>
    <mergeCell ref="D59:E59"/>
    <mergeCell ref="D60:E60"/>
    <mergeCell ref="A92:B92"/>
    <mergeCell ref="A85:B85"/>
    <mergeCell ref="A2:H2"/>
    <mergeCell ref="G3:H3"/>
    <mergeCell ref="A6:B7"/>
    <mergeCell ref="A8:B8"/>
    <mergeCell ref="G4:H4"/>
    <mergeCell ref="C8:D8"/>
    <mergeCell ref="D71:E71"/>
    <mergeCell ref="D72:E72"/>
    <mergeCell ref="A1:N1"/>
    <mergeCell ref="M6:N7"/>
    <mergeCell ref="M8:N8"/>
    <mergeCell ref="I2:N2"/>
    <mergeCell ref="L3:M3"/>
    <mergeCell ref="D3:E3"/>
    <mergeCell ref="D4:E4"/>
    <mergeCell ref="A87:B87"/>
    <mergeCell ref="A88:B88"/>
    <mergeCell ref="L4:M4"/>
    <mergeCell ref="A93:B93"/>
    <mergeCell ref="A86:B86"/>
    <mergeCell ref="D65:E65"/>
    <mergeCell ref="D66:E66"/>
    <mergeCell ref="A89:B89"/>
    <mergeCell ref="A90:B90"/>
    <mergeCell ref="A91:B91"/>
    <mergeCell ref="A119:B128"/>
    <mergeCell ref="A129:B129"/>
    <mergeCell ref="A94:B94"/>
    <mergeCell ref="A95:B95"/>
    <mergeCell ref="A108:B118"/>
    <mergeCell ref="A96:B96"/>
  </mergeCells>
  <conditionalFormatting sqref="T24">
    <cfRule type="cellIs" priority="1" dxfId="0" operator="equal" stopIfTrue="1">
      <formula>E109+T24</formula>
    </cfRule>
  </conditionalFormatting>
  <conditionalFormatting sqref="T23">
    <cfRule type="cellIs" priority="2" dxfId="0" operator="equal" stopIfTrue="1">
      <formula>E110+T23</formula>
    </cfRule>
  </conditionalFormatting>
  <conditionalFormatting sqref="T22">
    <cfRule type="cellIs" priority="3" dxfId="0" operator="equal" stopIfTrue="1">
      <formula>E111+T22</formula>
    </cfRule>
  </conditionalFormatting>
  <conditionalFormatting sqref="T21">
    <cfRule type="cellIs" priority="4" dxfId="0" operator="equal" stopIfTrue="1">
      <formula>E112+T21</formula>
    </cfRule>
  </conditionalFormatting>
  <conditionalFormatting sqref="T20">
    <cfRule type="cellIs" priority="5" dxfId="0" operator="equal" stopIfTrue="1">
      <formula>E113+T20</formula>
    </cfRule>
  </conditionalFormatting>
  <conditionalFormatting sqref="T19">
    <cfRule type="cellIs" priority="6" dxfId="0" operator="equal" stopIfTrue="1">
      <formula>E114+T19</formula>
    </cfRule>
  </conditionalFormatting>
  <conditionalFormatting sqref="T18">
    <cfRule type="cellIs" priority="7" dxfId="0" operator="equal" stopIfTrue="1">
      <formula>E115+T18</formula>
    </cfRule>
  </conditionalFormatting>
  <conditionalFormatting sqref="T17">
    <cfRule type="cellIs" priority="8" dxfId="0" operator="equal" stopIfTrue="1">
      <formula>E116+T17</formula>
    </cfRule>
  </conditionalFormatting>
  <conditionalFormatting sqref="T16">
    <cfRule type="cellIs" priority="9" dxfId="0" operator="equal" stopIfTrue="1">
      <formula>E117+T16</formula>
    </cfRule>
  </conditionalFormatting>
  <conditionalFormatting sqref="T15">
    <cfRule type="cellIs" priority="10" dxfId="0" operator="equal" stopIfTrue="1">
      <formula>E118+T15</formula>
    </cfRule>
  </conditionalFormatting>
  <dataValidations count="1">
    <dataValidation type="textLength" operator="equal" allowBlank="1" showInputMessage="1" showErrorMessage="1" errorTitle="Der größte aller Rechner:" error="Hier werden alle Werte automatisch berechnet." sqref="F107:G129 H106:L129 C106:E129 C131:K140 C130:N130 O97:O140 A97:N97 A106:A131 B106:B130 A83:M96">
      <formula1>0</formula1>
    </dataValidation>
  </dataValidations>
  <printOptions horizontalCentered="1" verticalCentered="1"/>
  <pageMargins left="0.5905511811023623" right="0.2362204724409449" top="0.35433070866141736" bottom="0.35433070866141736" header="0.3937007874015748" footer="0.3937007874015748"/>
  <pageSetup fitToHeight="1" fitToWidth="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Wilhelm-Maybach-Schule,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Leistung-Zugkraft-Getriebediagramm</dc:title>
  <dc:subject/>
  <dc:creator>Christian Mintel (mintel@online.de)</dc:creator>
  <cp:keywords/>
  <dc:description>siehe Kommentare in den jeweiligen Zellen</dc:description>
  <cp:lastModifiedBy>Christian Mintel</cp:lastModifiedBy>
  <cp:lastPrinted>2004-09-26T11:52:55Z</cp:lastPrinted>
  <dcterms:created xsi:type="dcterms:W3CDTF">2001-04-29T18:08:53Z</dcterms:created>
  <dcterms:modified xsi:type="dcterms:W3CDTF">2006-10-05T21:43:43Z</dcterms:modified>
  <cp:category/>
  <cp:version/>
  <cp:contentType/>
  <cp:contentStatus/>
</cp:coreProperties>
</file>