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60" windowHeight="8850" tabRatio="629" activeTab="1"/>
  </bookViews>
  <sheets>
    <sheet name="Leistung u. Drehmoment" sheetId="1" r:id="rId1"/>
    <sheet name="Getriebe- u. Zugkraftdiagramm" sheetId="2" r:id="rId2"/>
  </sheets>
  <definedNames>
    <definedName name="_xlnm.Print_Area" localSheetId="1">'Getriebe- u. Zugkraftdiagramm'!$A$1:$N$69</definedName>
    <definedName name="_xlnm.Print_Area" localSheetId="0">'Leistung u. Drehmoment'!$A$7:$L$31</definedName>
  </definedNames>
  <calcPr fullCalcOnLoad="1"/>
</workbook>
</file>

<file path=xl/comments1.xml><?xml version="1.0" encoding="utf-8"?>
<comments xmlns="http://schemas.openxmlformats.org/spreadsheetml/2006/main">
  <authors>
    <author>Christian Mintel</author>
  </authors>
  <commentList>
    <comment ref="A4" authorId="0">
      <text>
        <r>
          <rPr>
            <b/>
            <sz val="8"/>
            <color indexed="10"/>
            <rFont val="Tahoma"/>
            <family val="2"/>
          </rPr>
          <t>Diese Zeile wird automatisch berechnet!</t>
        </r>
      </text>
    </comment>
    <comment ref="A5" authorId="0">
      <text>
        <r>
          <rPr>
            <b/>
            <sz val="8"/>
            <color indexed="10"/>
            <rFont val="Tahoma"/>
            <family val="2"/>
          </rPr>
          <t>Diese Zeile wird automatisch berechnet!</t>
        </r>
      </text>
    </comment>
    <comment ref="A6" authorId="0">
      <text>
        <r>
          <rPr>
            <b/>
            <sz val="8"/>
            <color indexed="10"/>
            <rFont val="Tahoma"/>
            <family val="2"/>
          </rPr>
          <t>Diese Zeile wird automatisch berechnet!</t>
        </r>
      </text>
    </comment>
    <comment ref="A28" authorId="0">
      <text>
        <r>
          <rPr>
            <sz val="8"/>
            <rFont val="Tahoma"/>
            <family val="2"/>
          </rPr>
          <t>Diese Zellen werden automatisch berechnet</t>
        </r>
      </text>
    </comment>
    <comment ref="C1" authorId="0">
      <text>
        <r>
          <rPr>
            <sz val="8"/>
            <rFont val="Tahoma"/>
            <family val="2"/>
          </rPr>
          <t>Es können maximal 11 Werte eingegeben werden.
Für eine aussagekräftige Darstellung sollten mindestens 5 Werte eingegeben werden.</t>
        </r>
      </text>
    </comment>
    <comment ref="C2" authorId="0">
      <text>
        <r>
          <rPr>
            <sz val="8"/>
            <rFont val="Tahoma"/>
            <family val="0"/>
          </rPr>
          <t>Die Berechnung des Drehmoments erfolgt automatisch, wenn Leistungwerte (P/kW) eingetragen sind.</t>
        </r>
      </text>
    </comment>
    <comment ref="C3" authorId="0">
      <text>
        <r>
          <rPr>
            <sz val="8"/>
            <rFont val="Tahoma"/>
            <family val="0"/>
          </rPr>
          <t>Die Berechnung der Leistung erfolgt automatisch, wenn Drehmomentwerte (M/Nm) eingetragen sind.</t>
        </r>
      </text>
    </comment>
  </commentList>
</comments>
</file>

<file path=xl/comments2.xml><?xml version="1.0" encoding="utf-8"?>
<comments xmlns="http://schemas.openxmlformats.org/spreadsheetml/2006/main">
  <authors>
    <author>Christian Mintel</author>
    <author>ChM</author>
  </authors>
  <commentList>
    <comment ref="M8" authorId="0">
      <text>
        <r>
          <rPr>
            <sz val="8"/>
            <rFont val="Tahoma"/>
            <family val="0"/>
          </rPr>
          <t>Hier wird automatisch der höchste Wert aus den  Drehzahl-/Drehmomentkurven eingetragen.
Liegt die mittlere Kolbengeschwindigkeit dabei über 25 m/s, wird die Drehzahl für 25 m/s eingetragen
Sollen die Drehzahlsprünge im Getriebeschaubild (rote Linien) nicht angezeigt werden, muss der Zelleninhalt gelöscht werden.</t>
        </r>
      </text>
    </comment>
    <comment ref="P11" authorId="0">
      <text>
        <r>
          <rPr>
            <sz val="8"/>
            <rFont val="Tahoma"/>
            <family val="0"/>
          </rPr>
          <t>Hier kann ein Faktor eingegeben werden, um den Maximalwert der Fahrwiderstandsparabeln im Verhältnis zur maximalen Zugkraft des Fahrzeugs anzupassen.</t>
        </r>
      </text>
    </comment>
    <comment ref="P12" authorId="0">
      <text>
        <r>
          <rPr>
            <sz val="8"/>
            <rFont val="Tahoma"/>
            <family val="2"/>
          </rPr>
          <t>Hier kann ein Faktor eingegeben werden, um den Maximalwert der Fahrwiderstandsparabeln im Verhältnis zur maximalen Geschwindigkeit des Fahrzeugs anzupassen.</t>
        </r>
      </text>
    </comment>
    <comment ref="A122" authorId="0">
      <text>
        <r>
          <rPr>
            <b/>
            <sz val="8"/>
            <color indexed="10"/>
            <rFont val="Tahoma"/>
            <family val="2"/>
          </rPr>
          <t>In dieser Tabelle werden die Fahrwiderstandsparabeln automatisch berechnet.</t>
        </r>
      </text>
    </comment>
    <comment ref="J113" authorId="0">
      <text>
        <r>
          <rPr>
            <b/>
            <sz val="8"/>
            <color indexed="10"/>
            <rFont val="Tahoma"/>
            <family val="2"/>
          </rPr>
          <t>In dieser Tabelle werden die Werte des Getriebeschaubilds automatisch berechnet.</t>
        </r>
        <r>
          <rPr>
            <b/>
            <sz val="8"/>
            <rFont val="Tahoma"/>
            <family val="0"/>
          </rPr>
          <t xml:space="preserve">
</t>
        </r>
        <r>
          <rPr>
            <sz val="8"/>
            <rFont val="Tahoma"/>
            <family val="0"/>
          </rPr>
          <t xml:space="preserve">
</t>
        </r>
      </text>
    </comment>
    <comment ref="A113" authorId="0">
      <text>
        <r>
          <rPr>
            <b/>
            <sz val="8"/>
            <color indexed="10"/>
            <rFont val="Tahoma"/>
            <family val="2"/>
          </rPr>
          <t>In dieser Tabelle werden die Drehzahlsprünge im Getriebeschaubild automatisch berechnet.</t>
        </r>
        <r>
          <rPr>
            <sz val="8"/>
            <color indexed="10"/>
            <rFont val="Tahoma"/>
            <family val="2"/>
          </rPr>
          <t xml:space="preserve">
</t>
        </r>
      </text>
    </comment>
    <comment ref="A98" authorId="0">
      <text>
        <r>
          <rPr>
            <b/>
            <sz val="8"/>
            <color indexed="10"/>
            <rFont val="Tahoma"/>
            <family val="2"/>
          </rPr>
          <t>In dieser Tabelle werden die Zugkräfte und die Geschwindigkeiten in den jeweiligen Gängen automatisch berechnet.</t>
        </r>
      </text>
    </comment>
    <comment ref="B72" authorId="0">
      <text>
        <r>
          <rPr>
            <sz val="8"/>
            <rFont val="Tahoma"/>
            <family val="0"/>
          </rPr>
          <t>Hier kann der Hub des Motors eingegeben werden, um einen Überblick über die mittleren Kolbengeschwindigkeiten zu erhalten.
Beim Hochschalten können 25 m/s als Grenzwert angesehen werden.
Im letzten Gang sollten 20 m/s nicht überschritten werden (Dauerhöchsgeschwindigkeit).</t>
        </r>
      </text>
    </comment>
    <comment ref="C8" authorId="0">
      <text>
        <r>
          <rPr>
            <sz val="8"/>
            <rFont val="Tahoma"/>
            <family val="2"/>
          </rPr>
          <t>Der Wirkungsgrad einer Kette beträgt ca.:
0,95 (neuwertig, ohne O-Ringe) 
0,95 (neuwertig, mit O-Ringen)
Der Wirkungsgrad der PKW-Achsgetriebe beträgt bei 
geradverzahnten Antrieben ca. 0,97
Hypoidachsantrieben ca. 0,96</t>
        </r>
      </text>
    </comment>
    <comment ref="P27" authorId="0">
      <text>
        <r>
          <rPr>
            <sz val="8"/>
            <rFont val="Tahoma"/>
            <family val="2"/>
          </rPr>
          <t>Hier können die Werte für die optimalen Schaltpunkte, die aus dem Zugkraftdiagramm abgelesen werden müssen, eingetragen werden.</t>
        </r>
        <r>
          <rPr>
            <sz val="8"/>
            <rFont val="Tahoma"/>
            <family val="0"/>
          </rPr>
          <t xml:space="preserve">
Wenn keine Eintragungen vorhanden sind wird als Schaltdrehzahl die oben angegebene benutzt</t>
        </r>
      </text>
    </comment>
    <comment ref="A158" authorId="1">
      <text>
        <r>
          <rPr>
            <b/>
            <sz val="8"/>
            <color indexed="10"/>
            <rFont val="Tahoma"/>
            <family val="2"/>
          </rPr>
          <t>In dieser Tabelle werden die Werte für die Leistungshyperbel berechnet</t>
        </r>
      </text>
    </comment>
    <comment ref="A162" authorId="1">
      <text>
        <r>
          <rPr>
            <b/>
            <sz val="8"/>
            <color indexed="10"/>
            <rFont val="Tahoma"/>
            <family val="2"/>
          </rPr>
          <t>In dieser Tabelle werden die Werte für die Leistungshyperbel berechnet</t>
        </r>
      </text>
    </comment>
    <comment ref="E8" authorId="0">
      <text>
        <r>
          <rPr>
            <sz val="8"/>
            <rFont val="Tahoma"/>
            <family val="0"/>
          </rPr>
          <t xml:space="preserve">Der Wirkungsgrad der Getriebe beträgt bei 
geradverzahnten Zahnrädern: 0,98
schrägverzahnten Zahnrädern: 0,97
Kegelräder: 0,96
Zahnkette: 0,98
Rollenkette: 0,95
Wenn die Leistungkurve auf einem Rollenprüfstand ermittelt wurde, muss hier der Wert 1 eingetragen werden, weil Rollenprüfstände die Leistung an der Kupplung ermitteln. Liegen zusätzliche Zahnradpaare im Kraftfluss, muss der Wirkungsgrad mit den oben angegebenen Werten für jedes Zahnradpaar multipliziert werden. </t>
        </r>
      </text>
    </comment>
    <comment ref="F8" authorId="0">
      <text>
        <r>
          <rPr>
            <sz val="8"/>
            <rFont val="Tahoma"/>
            <family val="2"/>
          </rPr>
          <t xml:space="preserve">Der Wirkungsgrad der Getriebe beträgt bei 
geradverzahnten Zahnrädern: 0,98
schrägverzahnten Zahnrädern: 0,97
Kegelräder: 0,96
Zahnkette: 0,98
Rollenkette: 0,95
Als Anhaltswerte können folgende Wirkungsgrade angenommen werden:
</t>
        </r>
        <r>
          <rPr>
            <b/>
            <sz val="8"/>
            <rFont val="Tahoma"/>
            <family val="2"/>
          </rPr>
          <t>Pkw-Getriebe:</t>
        </r>
        <r>
          <rPr>
            <sz val="8"/>
            <rFont val="Tahoma"/>
            <family val="2"/>
          </rPr>
          <t xml:space="preserve">
Frontantrieb (ungleichachsiges Getriebe):  0,97
Heckmotor (ungleichachsiges Getriebe):  0,97
Standardantrieb (gleichachsiges Getriebe): 0,94
Standardantrieb (gleichachsiges Getriebe) im direkten Gang (i=1): 0,98
</t>
        </r>
        <r>
          <rPr>
            <b/>
            <sz val="8"/>
            <rFont val="Tahoma"/>
            <family val="2"/>
          </rPr>
          <t>Motorradgetriebe:</t>
        </r>
        <r>
          <rPr>
            <sz val="8"/>
            <rFont val="Tahoma"/>
            <family val="2"/>
          </rPr>
          <t xml:space="preserve">
Ritzel auf der Kupplungsseite (ungleichachsiges Getriebe): 0,97
Ritzel gegenüber der Kupplungsseite (ungleichachsiges Getriebe): 0,97
Ritzel gegenüber der Kupplungsseite (gleichachsiges Getriebe): 0,94
Ritzel gegenüber der Kupplungsseite (gleichachsiges Getriebe), direkter Gang (i=1): 0,98
Prinzipiell gilt, dass große Übersetzungen einen geringeren Wirkungsgrad aufweisen als kleine Übersetzungen.
Bei Allradfahrzeugen mit Verteilergetrieben verringert sich der Wirkungsgrad auf bis zu 0,8 und in Geländegängen (Kriechgänge) auf bis zu 0,6.
Die Angaben sind Schätzwerte, bzw. Literaturangaben! </t>
        </r>
      </text>
    </comment>
    <comment ref="O11" authorId="0">
      <text>
        <r>
          <rPr>
            <sz val="8"/>
            <rFont val="Tahoma"/>
            <family val="0"/>
          </rPr>
          <t>Hier kann ein Faktor eingegeben werden, um den Maximalwert der Leistungshyperbel im Verhältnis zur maximalen Zugkraft des Fahrzeugs anzupassen.</t>
        </r>
      </text>
    </comment>
    <comment ref="E7" authorId="0">
      <text>
        <r>
          <rPr>
            <sz val="8"/>
            <rFont val="Tahoma"/>
            <family val="2"/>
          </rPr>
          <t>Wenn keine Primärübersetzung vorhanden ist, muss hier und in der Zelle für den Wirkungsgrad jeweils der Wert 1 eingegeben werden</t>
        </r>
        <r>
          <rPr>
            <sz val="8"/>
            <rFont val="Tahoma"/>
            <family val="0"/>
          </rPr>
          <t xml:space="preserve">
</t>
        </r>
      </text>
    </comment>
    <comment ref="D4" authorId="0">
      <text>
        <r>
          <rPr>
            <sz val="8"/>
            <rFont val="Tahoma"/>
            <family val="2"/>
          </rPr>
          <t>Hier muss angegeben werden, ob es sich um einen Auto- oder Motorradreifen handelt.
Die Berechnung des Abrollumfangs U</t>
        </r>
        <r>
          <rPr>
            <vertAlign val="subscript"/>
            <sz val="8"/>
            <rFont val="Tahoma"/>
            <family val="2"/>
          </rPr>
          <t xml:space="preserve">dyn </t>
        </r>
        <r>
          <rPr>
            <sz val="8"/>
            <rFont val="Tahoma"/>
            <family val="0"/>
          </rPr>
          <t xml:space="preserve">
erfolgt  mit verschiedenen Korrekturfaktoren.</t>
        </r>
      </text>
    </comment>
    <comment ref="F4" authorId="0">
      <text>
        <r>
          <rPr>
            <sz val="8"/>
            <rFont val="Tahoma"/>
            <family val="0"/>
          </rPr>
          <t>Für die Berechnung der Geschwindigkeit im Getriebeschaubild und dem Zugkraftdiagramm kann hier der Reifenabrollumfang eingegeben werden.
Ist der dynamische Abrollumfang unbekannt, wird mit 0,9881* U gerechnet, wobei U der Umfang des Rads ist und aus Reifenbreite, Querschnittsverhältnis und Felgendurchmesser errechnet wird. Der Wert 0,9613 ist ein Mittelwert aus ca. 100 Reifendaten und ergibt eine Abweichung von maximal 0,2%.
Für PKW-Reifen beträgt der Korrekturfaktor 0,97129 .</t>
        </r>
      </text>
    </comment>
    <comment ref="G4" authorId="0">
      <text>
        <r>
          <rPr>
            <sz val="8"/>
            <rFont val="Tahoma"/>
            <family val="0"/>
          </rPr>
          <t>0,015 gilt für Breitreifen auf Asphalt, für schmale Reifen (z.B. 135er) 0,012 einsetzen</t>
        </r>
      </text>
    </comment>
    <comment ref="I4" authorId="0">
      <text>
        <r>
          <rPr>
            <sz val="8"/>
            <rFont val="Tahoma"/>
            <family val="2"/>
          </rPr>
          <t>Hier kann das Fahrzeuggewicht mit Fahrer eingegeben werden. Die Fahrzeugmasse hat hauptsächlich auf die Zugkraft (=Beschleunigung) Einfluss.</t>
        </r>
      </text>
    </comment>
    <comment ref="J4" authorId="0">
      <text>
        <r>
          <rPr>
            <sz val="8"/>
            <rFont val="Tahoma"/>
            <family val="0"/>
          </rPr>
          <t>Fahrzeugbreite und -höhe werden nur benötigt, wenn die Stirnfläche nicht bekannt ist.</t>
        </r>
      </text>
    </comment>
    <comment ref="K4" authorId="0">
      <text>
        <r>
          <rPr>
            <sz val="8"/>
            <rFont val="Tahoma"/>
            <family val="2"/>
          </rPr>
          <t>Fahrzeugbreite und -höhe werden nur benötigt, wenn die Stirnfläche nicht bekannt ist.</t>
        </r>
      </text>
    </comment>
    <comment ref="L4" authorId="0">
      <text>
        <r>
          <rPr>
            <sz val="8"/>
            <rFont val="Tahoma"/>
            <family val="0"/>
          </rPr>
          <t>Die Stirnfläche wird automatisch mit 0,85*Breite*Höhe berechnet,
kann aber auch überschrieben werden.
Wenn die Stirnfläche bekannt ist, müssen Fahrzeugbreite und -höhe nicht eingegeben werden.</t>
        </r>
      </text>
    </comment>
    <comment ref="N4" authorId="0">
      <text>
        <r>
          <rPr>
            <sz val="8"/>
            <rFont val="Tahoma"/>
            <family val="0"/>
          </rPr>
          <t>Für Pkw nach Baujahr 1990 beträgt der c</t>
        </r>
        <r>
          <rPr>
            <vertAlign val="subscript"/>
            <sz val="8"/>
            <rFont val="Tahoma"/>
            <family val="2"/>
          </rPr>
          <t>W</t>
        </r>
        <r>
          <rPr>
            <sz val="8"/>
            <rFont val="Tahoma"/>
            <family val="0"/>
          </rPr>
          <t>-Wert ca. 0,3.
Für ältere Fahrzeuge (Baujahr vor 1980) ca. 0,4.
Für Geländefahrzeuge ca. 0,42</t>
        </r>
      </text>
    </comment>
  </commentList>
</comments>
</file>

<file path=xl/sharedStrings.xml><?xml version="1.0" encoding="utf-8"?>
<sst xmlns="http://schemas.openxmlformats.org/spreadsheetml/2006/main" count="102" uniqueCount="83">
  <si>
    <t>F1</t>
  </si>
  <si>
    <t>F2</t>
  </si>
  <si>
    <t>F3</t>
  </si>
  <si>
    <t>F4</t>
  </si>
  <si>
    <t>F5</t>
  </si>
  <si>
    <t>3.</t>
  </si>
  <si>
    <t>4.</t>
  </si>
  <si>
    <t>5.</t>
  </si>
  <si>
    <t>1.</t>
  </si>
  <si>
    <t>2.</t>
  </si>
  <si>
    <t>6.</t>
  </si>
  <si>
    <t>V1</t>
  </si>
  <si>
    <t>V2</t>
  </si>
  <si>
    <t>V3</t>
  </si>
  <si>
    <t>V4</t>
  </si>
  <si>
    <t>V5</t>
  </si>
  <si>
    <t>V6</t>
  </si>
  <si>
    <t>F6</t>
  </si>
  <si>
    <t>P/kW</t>
  </si>
  <si>
    <r>
      <t>n/min</t>
    </r>
    <r>
      <rPr>
        <b/>
        <vertAlign val="superscript"/>
        <sz val="10"/>
        <rFont val="Arial"/>
        <family val="2"/>
      </rPr>
      <t>-1</t>
    </r>
  </si>
  <si>
    <t>V</t>
  </si>
  <si>
    <t>Übersetzungen</t>
  </si>
  <si>
    <t>Wirkungsgrad</t>
  </si>
  <si>
    <r>
      <t>c</t>
    </r>
    <r>
      <rPr>
        <b/>
        <vertAlign val="subscript"/>
        <sz val="10"/>
        <rFont val="Arial"/>
        <family val="2"/>
      </rPr>
      <t>W</t>
    </r>
  </si>
  <si>
    <r>
      <t>M</t>
    </r>
    <r>
      <rPr>
        <b/>
        <vertAlign val="subscript"/>
        <sz val="10"/>
        <rFont val="Arial"/>
        <family val="2"/>
      </rPr>
      <t>berechnet</t>
    </r>
    <r>
      <rPr>
        <b/>
        <sz val="10"/>
        <rFont val="Arial"/>
        <family val="2"/>
      </rPr>
      <t>/Nm</t>
    </r>
  </si>
  <si>
    <r>
      <t>P</t>
    </r>
    <r>
      <rPr>
        <b/>
        <vertAlign val="subscript"/>
        <sz val="10"/>
        <rFont val="Arial"/>
        <family val="2"/>
      </rPr>
      <t>berechnet</t>
    </r>
    <r>
      <rPr>
        <b/>
        <sz val="10"/>
        <rFont val="Arial"/>
        <family val="2"/>
      </rPr>
      <t>/kW</t>
    </r>
  </si>
  <si>
    <r>
      <t>P</t>
    </r>
    <r>
      <rPr>
        <vertAlign val="subscript"/>
        <sz val="10"/>
        <rFont val="Arial"/>
        <family val="2"/>
      </rPr>
      <t>berechnet</t>
    </r>
    <r>
      <rPr>
        <b/>
        <sz val="10"/>
        <rFont val="Arial"/>
        <family val="2"/>
      </rPr>
      <t>/PS</t>
    </r>
  </si>
  <si>
    <r>
      <t>n</t>
    </r>
    <r>
      <rPr>
        <vertAlign val="subscript"/>
        <sz val="10"/>
        <rFont val="Arial"/>
        <family val="2"/>
      </rPr>
      <t>min</t>
    </r>
  </si>
  <si>
    <r>
      <t>n</t>
    </r>
    <r>
      <rPr>
        <vertAlign val="subscript"/>
        <sz val="10"/>
        <rFont val="Arial"/>
        <family val="2"/>
      </rPr>
      <t>max</t>
    </r>
  </si>
  <si>
    <r>
      <t>v</t>
    </r>
    <r>
      <rPr>
        <vertAlign val="subscript"/>
        <sz val="10"/>
        <rFont val="Arial"/>
        <family val="2"/>
      </rPr>
      <t>schalt</t>
    </r>
  </si>
  <si>
    <t xml:space="preserve">M/Nm </t>
  </si>
  <si>
    <t>Fmax</t>
  </si>
  <si>
    <t>7.</t>
  </si>
  <si>
    <t>V7</t>
  </si>
  <si>
    <t>F7</t>
  </si>
  <si>
    <t>Vmax</t>
  </si>
  <si>
    <t>P/PS</t>
  </si>
  <si>
    <t>M/Nm</t>
  </si>
  <si>
    <t>j</t>
  </si>
  <si>
    <r>
      <t>v</t>
    </r>
    <r>
      <rPr>
        <vertAlign val="subscript"/>
        <sz val="10"/>
        <rFont val="Arial"/>
        <family val="2"/>
      </rPr>
      <t>min</t>
    </r>
  </si>
  <si>
    <r>
      <t>v</t>
    </r>
    <r>
      <rPr>
        <vertAlign val="subscript"/>
        <sz val="10"/>
        <rFont val="Arial"/>
        <family val="2"/>
      </rPr>
      <t>max</t>
    </r>
  </si>
  <si>
    <t>Rollwider-
standszahl</t>
  </si>
  <si>
    <r>
      <t>U</t>
    </r>
    <r>
      <rPr>
        <b/>
        <u val="single"/>
        <vertAlign val="subscript"/>
        <sz val="10"/>
        <rFont val="Arial"/>
        <family val="2"/>
      </rPr>
      <t>dyn</t>
    </r>
    <r>
      <rPr>
        <b/>
        <vertAlign val="subscript"/>
        <sz val="10"/>
        <rFont val="Arial"/>
        <family val="2"/>
      </rPr>
      <t xml:space="preserve">
</t>
    </r>
    <r>
      <rPr>
        <b/>
        <sz val="10"/>
        <rFont val="Arial"/>
        <family val="2"/>
      </rPr>
      <t>m</t>
    </r>
  </si>
  <si>
    <r>
      <t>Felge</t>
    </r>
    <r>
      <rPr>
        <b/>
        <sz val="10"/>
        <rFont val="Arial"/>
        <family val="2"/>
      </rPr>
      <t xml:space="preserve">
Zoll</t>
    </r>
  </si>
  <si>
    <r>
      <t>Breite</t>
    </r>
    <r>
      <rPr>
        <b/>
        <sz val="10"/>
        <rFont val="Arial"/>
        <family val="2"/>
      </rPr>
      <t xml:space="preserve">
mm</t>
    </r>
  </si>
  <si>
    <t>Reifen</t>
  </si>
  <si>
    <t>Fahrzeug</t>
  </si>
  <si>
    <r>
      <t>Masse</t>
    </r>
    <r>
      <rPr>
        <b/>
        <sz val="10"/>
        <rFont val="Arial"/>
        <family val="2"/>
      </rPr>
      <t xml:space="preserve">
kg</t>
    </r>
  </si>
  <si>
    <r>
      <t>Breite</t>
    </r>
    <r>
      <rPr>
        <b/>
        <sz val="10"/>
        <rFont val="Arial"/>
        <family val="2"/>
      </rPr>
      <t xml:space="preserve">
m</t>
    </r>
  </si>
  <si>
    <r>
      <t>Höhe</t>
    </r>
    <r>
      <rPr>
        <b/>
        <sz val="10"/>
        <rFont val="Arial"/>
        <family val="2"/>
      </rPr>
      <t xml:space="preserve">
m</t>
    </r>
  </si>
  <si>
    <r>
      <t>Stirnfläche</t>
    </r>
    <r>
      <rPr>
        <b/>
        <sz val="10"/>
        <rFont val="Arial"/>
        <family val="2"/>
      </rPr>
      <t xml:space="preserve">
m²</t>
    </r>
  </si>
  <si>
    <t>F
(Diagramm)</t>
  </si>
  <si>
    <t>F
(Rechnung)</t>
  </si>
  <si>
    <r>
      <t>Schaltdrehzahl</t>
    </r>
    <r>
      <rPr>
        <b/>
        <sz val="10"/>
        <rFont val="Arial"/>
        <family val="2"/>
      </rPr>
      <t xml:space="preserve">
min</t>
    </r>
    <r>
      <rPr>
        <b/>
        <vertAlign val="superscript"/>
        <sz val="10"/>
        <rFont val="Arial"/>
        <family val="2"/>
      </rPr>
      <t>-1</t>
    </r>
  </si>
  <si>
    <r>
      <t xml:space="preserve">Hub
</t>
    </r>
    <r>
      <rPr>
        <sz val="10"/>
        <rFont val="Arial"/>
        <family val="2"/>
      </rPr>
      <t>mm</t>
    </r>
  </si>
  <si>
    <r>
      <t>Drehzahl</t>
    </r>
    <r>
      <rPr>
        <sz val="10"/>
        <rFont val="Arial"/>
        <family val="0"/>
      </rPr>
      <t xml:space="preserve">
min</t>
    </r>
    <r>
      <rPr>
        <vertAlign val="superscript"/>
        <sz val="10"/>
        <rFont val="Arial"/>
        <family val="2"/>
      </rPr>
      <t>-1</t>
    </r>
  </si>
  <si>
    <r>
      <t>V</t>
    </r>
    <r>
      <rPr>
        <vertAlign val="subscript"/>
        <sz val="10"/>
        <rFont val="Arial"/>
        <family val="2"/>
      </rPr>
      <t>Schalt</t>
    </r>
  </si>
  <si>
    <r>
      <t>V</t>
    </r>
    <r>
      <rPr>
        <u val="single"/>
        <vertAlign val="subscript"/>
        <sz val="10"/>
        <rFont val="Arial"/>
        <family val="2"/>
      </rPr>
      <t xml:space="preserve">1.
</t>
    </r>
    <r>
      <rPr>
        <sz val="10"/>
        <rFont val="Arial"/>
        <family val="2"/>
      </rPr>
      <t>km/h</t>
    </r>
  </si>
  <si>
    <r>
      <t>V</t>
    </r>
    <r>
      <rPr>
        <u val="single"/>
        <vertAlign val="subscript"/>
        <sz val="10"/>
        <rFont val="Arial"/>
        <family val="2"/>
      </rPr>
      <t xml:space="preserve">2.
</t>
    </r>
    <r>
      <rPr>
        <sz val="10"/>
        <rFont val="Arial"/>
        <family val="2"/>
      </rPr>
      <t>km/h</t>
    </r>
  </si>
  <si>
    <r>
      <t>V</t>
    </r>
    <r>
      <rPr>
        <u val="single"/>
        <vertAlign val="subscript"/>
        <sz val="10"/>
        <rFont val="Arial"/>
        <family val="2"/>
      </rPr>
      <t xml:space="preserve">3.
</t>
    </r>
    <r>
      <rPr>
        <sz val="10"/>
        <rFont val="Arial"/>
        <family val="2"/>
      </rPr>
      <t>km/h</t>
    </r>
  </si>
  <si>
    <r>
      <t>V</t>
    </r>
    <r>
      <rPr>
        <u val="single"/>
        <vertAlign val="subscript"/>
        <sz val="10"/>
        <rFont val="Arial"/>
        <family val="2"/>
      </rPr>
      <t xml:space="preserve">4.
</t>
    </r>
    <r>
      <rPr>
        <sz val="10"/>
        <rFont val="Arial"/>
        <family val="2"/>
      </rPr>
      <t>km/h</t>
    </r>
  </si>
  <si>
    <r>
      <t>V</t>
    </r>
    <r>
      <rPr>
        <u val="single"/>
        <vertAlign val="subscript"/>
        <sz val="10"/>
        <rFont val="Arial"/>
        <family val="2"/>
      </rPr>
      <t xml:space="preserve">5.
</t>
    </r>
    <r>
      <rPr>
        <sz val="10"/>
        <rFont val="Arial"/>
        <family val="2"/>
      </rPr>
      <t>km/h</t>
    </r>
  </si>
  <si>
    <r>
      <t>V</t>
    </r>
    <r>
      <rPr>
        <u val="single"/>
        <vertAlign val="subscript"/>
        <sz val="10"/>
        <rFont val="Arial"/>
        <family val="2"/>
      </rPr>
      <t xml:space="preserve">6.
</t>
    </r>
    <r>
      <rPr>
        <sz val="10"/>
        <rFont val="Arial"/>
        <family val="2"/>
      </rPr>
      <t>km/h</t>
    </r>
  </si>
  <si>
    <r>
      <t>V</t>
    </r>
    <r>
      <rPr>
        <u val="single"/>
        <vertAlign val="subscript"/>
        <sz val="10"/>
        <rFont val="Arial"/>
        <family val="2"/>
      </rPr>
      <t xml:space="preserve">7.
</t>
    </r>
    <r>
      <rPr>
        <sz val="10"/>
        <rFont val="Arial"/>
        <family val="2"/>
      </rPr>
      <t>km/h</t>
    </r>
  </si>
  <si>
    <r>
      <t>V</t>
    </r>
    <r>
      <rPr>
        <u val="single"/>
        <vertAlign val="subscript"/>
        <sz val="10"/>
        <rFont val="Arial"/>
        <family val="2"/>
      </rPr>
      <t>Kolben</t>
    </r>
    <r>
      <rPr>
        <sz val="10"/>
        <rFont val="Arial"/>
        <family val="0"/>
      </rPr>
      <t xml:space="preserve">
m/s</t>
    </r>
  </si>
  <si>
    <r>
      <t>i</t>
    </r>
    <r>
      <rPr>
        <b/>
        <vertAlign val="subscript"/>
        <sz val="10"/>
        <rFont val="Arial"/>
        <family val="2"/>
      </rPr>
      <t>Primär</t>
    </r>
  </si>
  <si>
    <r>
      <t>z</t>
    </r>
    <r>
      <rPr>
        <b/>
        <vertAlign val="subscript"/>
        <sz val="10"/>
        <rFont val="Arial"/>
        <family val="2"/>
      </rPr>
      <t>Ritzel</t>
    </r>
  </si>
  <si>
    <r>
      <t>z</t>
    </r>
    <r>
      <rPr>
        <b/>
        <vertAlign val="subscript"/>
        <sz val="10"/>
        <rFont val="Arial"/>
        <family val="2"/>
      </rPr>
      <t>Kettenrad</t>
    </r>
  </si>
  <si>
    <t>Geschwindigkeit</t>
  </si>
  <si>
    <t>Gang</t>
  </si>
  <si>
    <t>M</t>
  </si>
  <si>
    <r>
      <t>A</t>
    </r>
    <r>
      <rPr>
        <sz val="10"/>
        <rFont val="Arial"/>
        <family val="2"/>
      </rPr>
      <t>uto/</t>
    </r>
    <r>
      <rPr>
        <b/>
        <sz val="10"/>
        <rFont val="Arial"/>
        <family val="2"/>
      </rPr>
      <t xml:space="preserve">
M</t>
    </r>
    <r>
      <rPr>
        <sz val="10"/>
        <rFont val="Arial"/>
        <family val="2"/>
      </rPr>
      <t>otorrad</t>
    </r>
  </si>
  <si>
    <t>Quer-
schnitt</t>
  </si>
  <si>
    <t>Fahrwider-
stands-
parabeln</t>
  </si>
  <si>
    <r>
      <t>V</t>
    </r>
    <r>
      <rPr>
        <vertAlign val="subscript"/>
        <sz val="10"/>
        <rFont val="Arial"/>
        <family val="2"/>
      </rPr>
      <t>Schalt opti</t>
    </r>
  </si>
  <si>
    <r>
      <t>n</t>
    </r>
    <r>
      <rPr>
        <vertAlign val="subscript"/>
        <sz val="10"/>
        <rFont val="Arial"/>
        <family val="2"/>
      </rPr>
      <t>Schalt opti</t>
    </r>
  </si>
  <si>
    <t>Schaltdrehzahl, optimal</t>
  </si>
  <si>
    <t>P</t>
  </si>
  <si>
    <t>n</t>
  </si>
  <si>
    <t>v</t>
  </si>
  <si>
    <t>F</t>
  </si>
  <si>
    <t>Eta</t>
  </si>
  <si>
    <t>KTM LC4 640, Bj 2001
Akrapovich Titan, Mikuni TM 42, Kanäle geglättet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</si>
</sst>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quot;m&quot;"/>
    <numFmt numFmtId="174" formatCode="0.0&quot;m&quot;"/>
    <numFmt numFmtId="175" formatCode="0.000&quot;m&quot;"/>
    <numFmt numFmtId="176" formatCode="0.000"/>
  </numFmts>
  <fonts count="32">
    <font>
      <sz val="10"/>
      <name val="Arial"/>
      <family val="0"/>
    </font>
    <font>
      <b/>
      <sz val="11"/>
      <name val="Arial"/>
      <family val="2"/>
    </font>
    <font>
      <b/>
      <sz val="12"/>
      <name val="Arial"/>
      <family val="2"/>
    </font>
    <font>
      <sz val="11"/>
      <name val="Arial"/>
      <family val="2"/>
    </font>
    <font>
      <b/>
      <vertAlign val="superscript"/>
      <sz val="11"/>
      <name val="Arial"/>
      <family val="2"/>
    </font>
    <font>
      <b/>
      <sz val="10"/>
      <name val="Arial"/>
      <family val="2"/>
    </font>
    <font>
      <b/>
      <vertAlign val="subscript"/>
      <sz val="10"/>
      <name val="Arial"/>
      <family val="2"/>
    </font>
    <font>
      <b/>
      <vertAlign val="superscript"/>
      <sz val="10"/>
      <name val="Arial"/>
      <family val="2"/>
    </font>
    <font>
      <sz val="8"/>
      <name val="Arial"/>
      <family val="2"/>
    </font>
    <font>
      <b/>
      <sz val="11"/>
      <color indexed="12"/>
      <name val="Arial"/>
      <family val="2"/>
    </font>
    <font>
      <b/>
      <sz val="11"/>
      <color indexed="10"/>
      <name val="Arial"/>
      <family val="2"/>
    </font>
    <font>
      <sz val="8"/>
      <name val="Tahoma"/>
      <family val="0"/>
    </font>
    <font>
      <b/>
      <sz val="8"/>
      <name val="Tahoma"/>
      <family val="0"/>
    </font>
    <font>
      <vertAlign val="subscript"/>
      <sz val="8"/>
      <name val="Tahoma"/>
      <family val="2"/>
    </font>
    <font>
      <sz val="19"/>
      <name val="Arial"/>
      <family val="0"/>
    </font>
    <font>
      <vertAlign val="subscript"/>
      <sz val="10"/>
      <name val="Arial"/>
      <family val="2"/>
    </font>
    <font>
      <b/>
      <sz val="8"/>
      <color indexed="10"/>
      <name val="Tahoma"/>
      <family val="2"/>
    </font>
    <font>
      <sz val="8"/>
      <color indexed="10"/>
      <name val="Tahoma"/>
      <family val="2"/>
    </font>
    <font>
      <sz val="19.5"/>
      <name val="Arial"/>
      <family val="0"/>
    </font>
    <font>
      <sz val="12"/>
      <name val="Arial"/>
      <family val="2"/>
    </font>
    <font>
      <vertAlign val="superscript"/>
      <sz val="10"/>
      <name val="Arial"/>
      <family val="2"/>
    </font>
    <font>
      <b/>
      <u val="single"/>
      <sz val="10"/>
      <name val="Arial"/>
      <family val="2"/>
    </font>
    <font>
      <b/>
      <u val="single"/>
      <vertAlign val="subscript"/>
      <sz val="10"/>
      <name val="Arial"/>
      <family val="2"/>
    </font>
    <font>
      <sz val="14.75"/>
      <name val="Arial"/>
      <family val="0"/>
    </font>
    <font>
      <u val="single"/>
      <sz val="10"/>
      <name val="Arial"/>
      <family val="2"/>
    </font>
    <font>
      <u val="single"/>
      <vertAlign val="subscript"/>
      <sz val="10"/>
      <name val="Arial"/>
      <family val="2"/>
    </font>
    <font>
      <sz val="10"/>
      <color indexed="10"/>
      <name val="Arial"/>
      <family val="0"/>
    </font>
    <font>
      <sz val="11"/>
      <color indexed="12"/>
      <name val="Arial"/>
      <family val="2"/>
    </font>
    <font>
      <sz val="11"/>
      <color indexed="10"/>
      <name val="Arial"/>
      <family val="2"/>
    </font>
    <font>
      <b/>
      <u val="single"/>
      <sz val="12"/>
      <name val="Arial"/>
      <family val="2"/>
    </font>
    <font>
      <b/>
      <u val="single"/>
      <sz val="11"/>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s>
  <borders count="67">
    <border>
      <left/>
      <right/>
      <top/>
      <bottom/>
      <diagonal/>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medium"/>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3">
    <xf numFmtId="0" fontId="0" fillId="0" borderId="0" xfId="0" applyAlignment="1">
      <alignment/>
    </xf>
    <xf numFmtId="0" fontId="0" fillId="0" borderId="0" xfId="0" applyAlignment="1" applyProtection="1">
      <alignment vertical="center"/>
      <protection locked="0"/>
    </xf>
    <xf numFmtId="0" fontId="0" fillId="0" borderId="1" xfId="0"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locked="0"/>
    </xf>
    <xf numFmtId="1" fontId="0" fillId="0" borderId="4" xfId="0" applyNumberFormat="1" applyFont="1" applyFill="1" applyBorder="1" applyAlignment="1" applyProtection="1">
      <alignment horizontal="center" vertical="center"/>
      <protection locked="0"/>
    </xf>
    <xf numFmtId="1" fontId="0" fillId="0" borderId="5" xfId="0" applyNumberFormat="1" applyFont="1" applyFill="1" applyBorder="1" applyAlignment="1" applyProtection="1">
      <alignment horizontal="center" vertical="center"/>
      <protection locked="0"/>
    </xf>
    <xf numFmtId="1" fontId="0" fillId="0" borderId="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0" fillId="0" borderId="0" xfId="0"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1" fontId="0" fillId="2" borderId="7" xfId="0" applyNumberFormat="1" applyFont="1" applyFill="1" applyBorder="1" applyAlignment="1" applyProtection="1">
      <alignment horizontal="center" vertical="center"/>
      <protection/>
    </xf>
    <xf numFmtId="1" fontId="0" fillId="2" borderId="8" xfId="0" applyNumberFormat="1" applyFont="1" applyFill="1" applyBorder="1" applyAlignment="1" applyProtection="1">
      <alignment horizontal="center" vertical="center"/>
      <protection/>
    </xf>
    <xf numFmtId="1" fontId="0" fillId="2" borderId="0" xfId="0" applyNumberFormat="1" applyFont="1" applyFill="1" applyBorder="1" applyAlignment="1" applyProtection="1">
      <alignment horizontal="center" vertical="center"/>
      <protection/>
    </xf>
    <xf numFmtId="1" fontId="0" fillId="2" borderId="9" xfId="0" applyNumberFormat="1" applyFont="1" applyFill="1" applyBorder="1" applyAlignment="1" applyProtection="1">
      <alignment horizontal="center" vertical="center"/>
      <protection/>
    </xf>
    <xf numFmtId="1" fontId="0" fillId="2" borderId="10" xfId="0" applyNumberFormat="1" applyFont="1" applyFill="1" applyBorder="1" applyAlignment="1" applyProtection="1">
      <alignment horizontal="center" vertical="center"/>
      <protection/>
    </xf>
    <xf numFmtId="1" fontId="0" fillId="2" borderId="11" xfId="0" applyNumberFormat="1" applyFont="1" applyFill="1" applyBorder="1" applyAlignment="1" applyProtection="1">
      <alignment horizontal="center" vertical="center"/>
      <protection/>
    </xf>
    <xf numFmtId="0" fontId="0" fillId="2" borderId="12" xfId="0" applyFont="1" applyFill="1" applyBorder="1" applyAlignment="1" applyProtection="1">
      <alignment vertical="center"/>
      <protection/>
    </xf>
    <xf numFmtId="0" fontId="0" fillId="2" borderId="7" xfId="0" applyFont="1" applyFill="1" applyBorder="1" applyAlignment="1" applyProtection="1">
      <alignment vertical="center"/>
      <protection/>
    </xf>
    <xf numFmtId="0" fontId="0" fillId="2" borderId="7" xfId="0" applyFont="1" applyFill="1" applyBorder="1" applyAlignment="1" applyProtection="1">
      <alignment horizontal="center" vertical="center"/>
      <protection/>
    </xf>
    <xf numFmtId="1" fontId="0" fillId="2" borderId="13" xfId="0" applyNumberFormat="1" applyFont="1" applyFill="1" applyBorder="1" applyAlignment="1" applyProtection="1">
      <alignment vertical="center"/>
      <protection/>
    </xf>
    <xf numFmtId="1" fontId="0" fillId="2" borderId="14" xfId="0" applyNumberFormat="1" applyFont="1" applyFill="1" applyBorder="1" applyAlignment="1" applyProtection="1">
      <alignment vertical="center"/>
      <protection/>
    </xf>
    <xf numFmtId="0" fontId="0" fillId="2" borderId="0" xfId="0" applyFill="1" applyAlignment="1" applyProtection="1">
      <alignment vertical="center"/>
      <protection/>
    </xf>
    <xf numFmtId="1" fontId="0" fillId="2" borderId="0" xfId="0" applyNumberFormat="1" applyFont="1" applyFill="1" applyBorder="1" applyAlignment="1" applyProtection="1">
      <alignment vertical="center"/>
      <protection/>
    </xf>
    <xf numFmtId="1" fontId="0" fillId="2" borderId="15" xfId="0" applyNumberFormat="1" applyFont="1" applyFill="1" applyBorder="1" applyAlignment="1" applyProtection="1">
      <alignment vertical="center"/>
      <protection/>
    </xf>
    <xf numFmtId="1" fontId="0" fillId="2" borderId="16" xfId="0" applyNumberFormat="1" applyFont="1" applyFill="1" applyBorder="1" applyAlignment="1" applyProtection="1">
      <alignment vertical="center"/>
      <protection/>
    </xf>
    <xf numFmtId="1" fontId="0" fillId="2" borderId="17" xfId="0" applyNumberFormat="1" applyFont="1" applyFill="1" applyBorder="1" applyAlignment="1" applyProtection="1">
      <alignment vertical="center"/>
      <protection/>
    </xf>
    <xf numFmtId="1" fontId="0" fillId="2" borderId="18" xfId="0" applyNumberFormat="1" applyFont="1" applyFill="1" applyBorder="1" applyAlignment="1" applyProtection="1">
      <alignment vertical="center"/>
      <protection/>
    </xf>
    <xf numFmtId="0" fontId="0" fillId="2" borderId="19" xfId="0" applyFill="1" applyBorder="1" applyAlignment="1" applyProtection="1">
      <alignment vertical="center"/>
      <protection/>
    </xf>
    <xf numFmtId="0" fontId="0" fillId="0" borderId="0" xfId="0" applyAlignment="1">
      <alignment vertical="center"/>
    </xf>
    <xf numFmtId="0" fontId="5" fillId="0" borderId="0" xfId="0" applyFont="1" applyFill="1" applyBorder="1" applyAlignment="1" applyProtection="1">
      <alignment horizontal="left" vertical="center"/>
      <protection/>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1" fontId="0" fillId="2" borderId="27" xfId="0" applyNumberFormat="1" applyFont="1" applyFill="1" applyBorder="1" applyAlignment="1" applyProtection="1">
      <alignment vertical="center"/>
      <protection/>
    </xf>
    <xf numFmtId="0" fontId="0" fillId="0" borderId="18" xfId="0" applyFill="1" applyBorder="1" applyAlignment="1" applyProtection="1">
      <alignment vertical="center"/>
      <protection locked="0"/>
    </xf>
    <xf numFmtId="0" fontId="0" fillId="2" borderId="28" xfId="0" applyFont="1" applyFill="1" applyBorder="1" applyAlignment="1" applyProtection="1">
      <alignment horizontal="center" vertical="center"/>
      <protection/>
    </xf>
    <xf numFmtId="1" fontId="0" fillId="2" borderId="29" xfId="0" applyNumberFormat="1" applyFont="1" applyFill="1" applyBorder="1" applyAlignment="1" applyProtection="1">
      <alignment vertical="center"/>
      <protection/>
    </xf>
    <xf numFmtId="0" fontId="0" fillId="0" borderId="29" xfId="0" applyFont="1" applyFill="1" applyBorder="1" applyAlignment="1" applyProtection="1">
      <alignment horizontal="center" vertical="center"/>
      <protection locked="0"/>
    </xf>
    <xf numFmtId="1" fontId="0" fillId="2" borderId="29" xfId="0" applyNumberFormat="1" applyFont="1" applyFill="1" applyBorder="1" applyAlignment="1" applyProtection="1">
      <alignment horizontal="center" vertical="center"/>
      <protection/>
    </xf>
    <xf numFmtId="0" fontId="0" fillId="2" borderId="29" xfId="0" applyFont="1" applyFill="1" applyBorder="1" applyAlignment="1" applyProtection="1">
      <alignment horizontal="center" vertical="center"/>
      <protection/>
    </xf>
    <xf numFmtId="0" fontId="0" fillId="2" borderId="30" xfId="0" applyFont="1" applyFill="1" applyBorder="1" applyAlignment="1" applyProtection="1">
      <alignment horizontal="center" vertical="center"/>
      <protection/>
    </xf>
    <xf numFmtId="1" fontId="0" fillId="2" borderId="31" xfId="0" applyNumberFormat="1" applyFont="1" applyFill="1" applyBorder="1" applyAlignment="1" applyProtection="1">
      <alignment vertical="center"/>
      <protection/>
    </xf>
    <xf numFmtId="2" fontId="0" fillId="0" borderId="32" xfId="0" applyNumberFormat="1" applyFill="1" applyBorder="1" applyAlignment="1" applyProtection="1">
      <alignment horizontal="center" vertical="center"/>
      <protection locked="0"/>
    </xf>
    <xf numFmtId="2" fontId="0" fillId="0" borderId="33" xfId="0" applyNumberFormat="1" applyFill="1" applyBorder="1" applyAlignment="1" applyProtection="1">
      <alignment horizontal="center" vertical="center"/>
      <protection locked="0"/>
    </xf>
    <xf numFmtId="0" fontId="0" fillId="2" borderId="8" xfId="0" applyFont="1" applyFill="1" applyBorder="1" applyAlignment="1" applyProtection="1">
      <alignment vertical="center"/>
      <protection/>
    </xf>
    <xf numFmtId="0" fontId="0" fillId="2" borderId="13" xfId="0" applyFont="1" applyFill="1" applyBorder="1" applyAlignment="1" applyProtection="1">
      <alignment vertical="center"/>
      <protection locked="0"/>
    </xf>
    <xf numFmtId="1" fontId="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 fontId="0" fillId="0" borderId="32" xfId="0" applyNumberFormat="1"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9" fontId="0" fillId="0" borderId="0" xfId="0" applyNumberFormat="1" applyBorder="1" applyAlignment="1" applyProtection="1">
      <alignment horizontal="center" vertical="center"/>
      <protection locked="0"/>
    </xf>
    <xf numFmtId="176" fontId="0" fillId="0" borderId="32" xfId="0" applyNumberForma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wrapText="1"/>
      <protection/>
    </xf>
    <xf numFmtId="0" fontId="21" fillId="2" borderId="1" xfId="0" applyFont="1" applyFill="1" applyBorder="1" applyAlignment="1" applyProtection="1">
      <alignment horizontal="center" vertical="center" wrapText="1"/>
      <protection/>
    </xf>
    <xf numFmtId="1" fontId="0" fillId="0" borderId="35" xfId="0" applyNumberForma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xf>
    <xf numFmtId="0" fontId="0" fillId="0" borderId="0" xfId="0" applyFill="1" applyBorder="1" applyAlignment="1">
      <alignment vertical="center"/>
    </xf>
    <xf numFmtId="0" fontId="2" fillId="0" borderId="0"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0" fillId="0" borderId="1" xfId="0" applyBorder="1" applyAlignment="1">
      <alignment horizontal="center" vertical="center"/>
    </xf>
    <xf numFmtId="1" fontId="0" fillId="2" borderId="36" xfId="0" applyNumberFormat="1" applyFont="1" applyFill="1" applyBorder="1" applyAlignment="1" applyProtection="1">
      <alignment vertical="center"/>
      <protection/>
    </xf>
    <xf numFmtId="1" fontId="0" fillId="2" borderId="37" xfId="0" applyNumberFormat="1" applyFont="1" applyFill="1" applyBorder="1" applyAlignment="1" applyProtection="1">
      <alignment vertical="center"/>
      <protection/>
    </xf>
    <xf numFmtId="0" fontId="0" fillId="2" borderId="18" xfId="0" applyFont="1" applyFill="1" applyBorder="1" applyAlignment="1" applyProtection="1">
      <alignment vertical="center"/>
      <protection/>
    </xf>
    <xf numFmtId="1" fontId="0" fillId="2" borderId="5" xfId="0" applyNumberFormat="1" applyFont="1" applyFill="1" applyBorder="1" applyAlignment="1" applyProtection="1">
      <alignment vertical="center"/>
      <protection/>
    </xf>
    <xf numFmtId="9" fontId="0" fillId="2" borderId="27" xfId="0" applyNumberFormat="1" applyFont="1" applyFill="1" applyBorder="1" applyAlignment="1" applyProtection="1">
      <alignment vertical="center"/>
      <protection/>
    </xf>
    <xf numFmtId="9" fontId="0" fillId="2" borderId="31" xfId="0" applyNumberFormat="1" applyFont="1" applyFill="1" applyBorder="1" applyAlignment="1" applyProtection="1">
      <alignment vertical="center"/>
      <protection/>
    </xf>
    <xf numFmtId="1" fontId="0" fillId="2" borderId="38" xfId="0" applyNumberFormat="1" applyFont="1" applyFill="1" applyBorder="1" applyAlignment="1" applyProtection="1">
      <alignment horizontal="center" vertical="center"/>
      <protection/>
    </xf>
    <xf numFmtId="1" fontId="0" fillId="2" borderId="17" xfId="0" applyNumberFormat="1" applyFill="1" applyBorder="1" applyAlignment="1">
      <alignment vertical="center"/>
    </xf>
    <xf numFmtId="1" fontId="0" fillId="2" borderId="0" xfId="0" applyNumberFormat="1" applyFill="1" applyBorder="1" applyAlignment="1">
      <alignment vertical="center"/>
    </xf>
    <xf numFmtId="1" fontId="0" fillId="2" borderId="39" xfId="0" applyNumberFormat="1" applyFill="1" applyBorder="1" applyAlignment="1">
      <alignment vertical="center"/>
    </xf>
    <xf numFmtId="1" fontId="0" fillId="2" borderId="7" xfId="0" applyNumberFormat="1" applyFill="1" applyBorder="1" applyAlignment="1">
      <alignment vertical="center"/>
    </xf>
    <xf numFmtId="1" fontId="0" fillId="2" borderId="8" xfId="0" applyNumberFormat="1" applyFill="1" applyBorder="1" applyAlignment="1">
      <alignment vertical="center"/>
    </xf>
    <xf numFmtId="1" fontId="0" fillId="2" borderId="9" xfId="0" applyNumberFormat="1" applyFill="1" applyBorder="1" applyAlignment="1">
      <alignment vertical="center"/>
    </xf>
    <xf numFmtId="1" fontId="0" fillId="2" borderId="40" xfId="0" applyNumberFormat="1" applyFill="1" applyBorder="1" applyAlignment="1">
      <alignment vertical="center"/>
    </xf>
    <xf numFmtId="1" fontId="0" fillId="2" borderId="10" xfId="0" applyNumberFormat="1" applyFill="1" applyBorder="1" applyAlignment="1">
      <alignment vertical="center"/>
    </xf>
    <xf numFmtId="1" fontId="0" fillId="2" borderId="11" xfId="0" applyNumberFormat="1" applyFill="1" applyBorder="1" applyAlignment="1">
      <alignment vertical="center"/>
    </xf>
    <xf numFmtId="1" fontId="0" fillId="0" borderId="0" xfId="0" applyNumberFormat="1" applyAlignment="1">
      <alignment vertical="center"/>
    </xf>
    <xf numFmtId="1" fontId="0" fillId="0" borderId="6" xfId="0" applyNumberFormat="1" applyBorder="1" applyAlignment="1">
      <alignment horizontal="center" vertical="center"/>
    </xf>
    <xf numFmtId="0" fontId="0" fillId="0" borderId="32" xfId="0" applyBorder="1" applyAlignment="1">
      <alignment horizontal="center" vertical="center"/>
    </xf>
    <xf numFmtId="1" fontId="0" fillId="0" borderId="33" xfId="0" applyNumberFormat="1" applyBorder="1" applyAlignment="1">
      <alignment horizontal="center" vertical="center"/>
    </xf>
    <xf numFmtId="0" fontId="0" fillId="0" borderId="41" xfId="0" applyBorder="1" applyAlignment="1">
      <alignment horizontal="center" vertical="center"/>
    </xf>
    <xf numFmtId="1" fontId="0" fillId="0" borderId="42" xfId="0" applyNumberFormat="1" applyBorder="1" applyAlignment="1">
      <alignment horizontal="center" vertical="center"/>
    </xf>
    <xf numFmtId="0" fontId="24" fillId="0" borderId="4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1" fontId="0" fillId="0" borderId="44" xfId="0" applyNumberFormat="1" applyBorder="1" applyAlignment="1">
      <alignment horizontal="center" vertical="center"/>
    </xf>
    <xf numFmtId="1" fontId="0" fillId="0" borderId="41" xfId="0" applyNumberFormat="1" applyBorder="1" applyAlignment="1">
      <alignment horizontal="center" vertical="center"/>
    </xf>
    <xf numFmtId="1" fontId="0" fillId="0" borderId="34" xfId="0" applyNumberFormat="1" applyBorder="1" applyAlignment="1">
      <alignment horizontal="center" vertical="center"/>
    </xf>
    <xf numFmtId="1" fontId="0" fillId="0" borderId="1" xfId="0" applyNumberFormat="1" applyBorder="1" applyAlignment="1">
      <alignment horizontal="center" vertical="center"/>
    </xf>
    <xf numFmtId="1" fontId="0" fillId="0" borderId="35" xfId="0" applyNumberFormat="1" applyBorder="1" applyAlignment="1">
      <alignment horizontal="center" vertical="center"/>
    </xf>
    <xf numFmtId="1" fontId="0" fillId="0" borderId="32" xfId="0" applyNumberFormat="1" applyBorder="1" applyAlignment="1">
      <alignment horizontal="center" vertical="center"/>
    </xf>
    <xf numFmtId="0" fontId="0" fillId="3" borderId="1" xfId="0" applyFill="1" applyBorder="1" applyAlignment="1">
      <alignment horizontal="center" vertical="center"/>
    </xf>
    <xf numFmtId="1" fontId="0" fillId="3" borderId="6" xfId="0" applyNumberFormat="1" applyFill="1" applyBorder="1" applyAlignment="1">
      <alignment horizontal="center" vertical="center"/>
    </xf>
    <xf numFmtId="1" fontId="0" fillId="3" borderId="34" xfId="0" applyNumberFormat="1" applyFill="1" applyBorder="1" applyAlignment="1">
      <alignment horizontal="center" vertical="center"/>
    </xf>
    <xf numFmtId="1" fontId="0" fillId="3" borderId="1" xfId="0" applyNumberFormat="1" applyFill="1" applyBorder="1" applyAlignment="1">
      <alignment horizontal="center" vertical="center"/>
    </xf>
    <xf numFmtId="0" fontId="0" fillId="4" borderId="1" xfId="0" applyFill="1" applyBorder="1" applyAlignment="1">
      <alignment horizontal="center" vertical="center"/>
    </xf>
    <xf numFmtId="1" fontId="0" fillId="4" borderId="6" xfId="0" applyNumberFormat="1" applyFill="1" applyBorder="1" applyAlignment="1">
      <alignment horizontal="center" vertical="center"/>
    </xf>
    <xf numFmtId="1" fontId="0" fillId="4" borderId="34" xfId="0" applyNumberFormat="1" applyFill="1" applyBorder="1" applyAlignment="1">
      <alignment horizontal="center" vertical="center"/>
    </xf>
    <xf numFmtId="1" fontId="0" fillId="4" borderId="1" xfId="0" applyNumberFormat="1" applyFill="1" applyBorder="1" applyAlignment="1">
      <alignment horizontal="center" vertical="center"/>
    </xf>
    <xf numFmtId="0" fontId="0" fillId="5" borderId="1" xfId="0" applyFill="1" applyBorder="1" applyAlignment="1">
      <alignment horizontal="center" vertical="center"/>
    </xf>
    <xf numFmtId="1" fontId="0" fillId="5" borderId="6" xfId="0" applyNumberFormat="1" applyFill="1" applyBorder="1" applyAlignment="1">
      <alignment horizontal="center" vertical="center"/>
    </xf>
    <xf numFmtId="1" fontId="0" fillId="5" borderId="34" xfId="0" applyNumberFormat="1" applyFill="1" applyBorder="1" applyAlignment="1">
      <alignment horizontal="center" vertical="center"/>
    </xf>
    <xf numFmtId="1" fontId="0" fillId="5" borderId="1" xfId="0" applyNumberFormat="1" applyFill="1" applyBorder="1" applyAlignment="1">
      <alignment horizontal="center" vertical="center"/>
    </xf>
    <xf numFmtId="1" fontId="0" fillId="0" borderId="31" xfId="0" applyNumberFormat="1"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1" fontId="0" fillId="0" borderId="47"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2" borderId="52" xfId="0" applyFont="1" applyFill="1" applyBorder="1" applyAlignment="1" applyProtection="1">
      <alignment horizontal="center" vertical="center" wrapText="1"/>
      <protection/>
    </xf>
    <xf numFmtId="0" fontId="0" fillId="0" borderId="6" xfId="0" applyBorder="1" applyAlignment="1">
      <alignment horizontal="center" vertical="center"/>
    </xf>
    <xf numFmtId="0" fontId="0" fillId="0" borderId="33" xfId="0"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44" xfId="0" applyFill="1" applyBorder="1" applyAlignment="1">
      <alignment horizontal="center" vertical="center"/>
    </xf>
    <xf numFmtId="0" fontId="0" fillId="0" borderId="42" xfId="0" applyBorder="1" applyAlignment="1">
      <alignment horizontal="center" vertical="center"/>
    </xf>
    <xf numFmtId="0" fontId="0" fillId="2" borderId="43"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locked="0"/>
    </xf>
    <xf numFmtId="9" fontId="0" fillId="0" borderId="0" xfId="0" applyNumberFormat="1" applyBorder="1" applyAlignment="1">
      <alignment horizontal="right" vertical="center"/>
    </xf>
    <xf numFmtId="9" fontId="26" fillId="0" borderId="0" xfId="0" applyNumberFormat="1" applyFont="1" applyBorder="1" applyAlignment="1">
      <alignment horizontal="right" vertical="center"/>
    </xf>
    <xf numFmtId="0" fontId="0" fillId="0" borderId="1"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protection locked="0"/>
    </xf>
    <xf numFmtId="172" fontId="0" fillId="2" borderId="1" xfId="0" applyNumberFormat="1" applyFont="1" applyFill="1" applyBorder="1" applyAlignment="1" applyProtection="1">
      <alignment horizontal="center" vertical="center"/>
      <protection/>
    </xf>
    <xf numFmtId="172" fontId="0" fillId="2" borderId="6" xfId="0" applyNumberFormat="1" applyFont="1" applyFill="1" applyBorder="1" applyAlignment="1" applyProtection="1">
      <alignment horizontal="center" vertical="center"/>
      <protection/>
    </xf>
    <xf numFmtId="172" fontId="0" fillId="2" borderId="32" xfId="0" applyNumberFormat="1" applyFont="1" applyFill="1" applyBorder="1" applyAlignment="1" applyProtection="1">
      <alignment horizontal="center" vertical="center"/>
      <protection/>
    </xf>
    <xf numFmtId="172" fontId="0" fillId="2" borderId="33" xfId="0" applyNumberFormat="1" applyFont="1" applyFill="1" applyBorder="1" applyAlignment="1" applyProtection="1">
      <alignment horizontal="center" vertical="center"/>
      <protection/>
    </xf>
    <xf numFmtId="172" fontId="19" fillId="0" borderId="31" xfId="0" applyNumberFormat="1" applyFont="1" applyBorder="1" applyAlignment="1">
      <alignment horizontal="center"/>
    </xf>
    <xf numFmtId="172" fontId="19" fillId="0" borderId="41" xfId="0" applyNumberFormat="1" applyFont="1" applyBorder="1" applyAlignment="1">
      <alignment horizontal="center"/>
    </xf>
    <xf numFmtId="172" fontId="19" fillId="0" borderId="42" xfId="0" applyNumberFormat="1" applyFont="1" applyBorder="1" applyAlignment="1">
      <alignment horizontal="center"/>
    </xf>
    <xf numFmtId="172" fontId="19" fillId="0" borderId="5" xfId="0" applyNumberFormat="1" applyFont="1" applyBorder="1" applyAlignment="1">
      <alignment horizontal="center"/>
    </xf>
    <xf numFmtId="172" fontId="19" fillId="0" borderId="1" xfId="0" applyNumberFormat="1" applyFont="1" applyBorder="1" applyAlignment="1">
      <alignment horizontal="center"/>
    </xf>
    <xf numFmtId="172" fontId="19" fillId="0" borderId="6" xfId="0" applyNumberFormat="1" applyFont="1" applyBorder="1" applyAlignment="1">
      <alignment horizontal="center"/>
    </xf>
    <xf numFmtId="172" fontId="19" fillId="0" borderId="38" xfId="0" applyNumberFormat="1" applyFont="1" applyBorder="1" applyAlignment="1">
      <alignment horizontal="center"/>
    </xf>
    <xf numFmtId="172" fontId="19" fillId="0" borderId="32" xfId="0" applyNumberFormat="1" applyFont="1" applyBorder="1" applyAlignment="1">
      <alignment horizontal="center"/>
    </xf>
    <xf numFmtId="172" fontId="19" fillId="0" borderId="33" xfId="0" applyNumberFormat="1" applyFont="1" applyBorder="1" applyAlignment="1">
      <alignment horizontal="center"/>
    </xf>
    <xf numFmtId="1" fontId="0" fillId="2" borderId="9" xfId="0" applyNumberFormat="1" applyFont="1" applyFill="1" applyBorder="1" applyAlignment="1" applyProtection="1">
      <alignment vertical="center"/>
      <protection/>
    </xf>
    <xf numFmtId="1" fontId="0" fillId="2" borderId="53" xfId="0" applyNumberFormat="1" applyFont="1" applyFill="1" applyBorder="1" applyAlignment="1" applyProtection="1">
      <alignment vertical="center"/>
      <protection/>
    </xf>
    <xf numFmtId="1" fontId="0" fillId="0" borderId="0" xfId="0" applyNumberFormat="1" applyFont="1" applyAlignment="1" applyProtection="1">
      <alignment vertical="center"/>
      <protection locked="0"/>
    </xf>
    <xf numFmtId="0" fontId="0" fillId="2" borderId="7" xfId="0" applyFill="1" applyBorder="1" applyAlignment="1">
      <alignment vertical="center"/>
    </xf>
    <xf numFmtId="0" fontId="0" fillId="2" borderId="8" xfId="0" applyFill="1" applyBorder="1" applyAlignment="1">
      <alignment vertical="center"/>
    </xf>
    <xf numFmtId="1" fontId="0" fillId="2" borderId="0" xfId="0" applyNumberFormat="1" applyFont="1" applyFill="1" applyBorder="1" applyAlignment="1" applyProtection="1">
      <alignment horizontal="center" vertical="center"/>
      <protection locked="0"/>
    </xf>
    <xf numFmtId="1" fontId="0" fillId="2" borderId="9" xfId="0" applyNumberFormat="1" applyFill="1" applyBorder="1" applyAlignment="1">
      <alignment horizontal="center" vertical="center"/>
    </xf>
    <xf numFmtId="1" fontId="0" fillId="2" borderId="9" xfId="0" applyNumberFormat="1" applyFont="1" applyFill="1" applyBorder="1" applyAlignment="1" applyProtection="1">
      <alignment horizontal="center" vertical="center"/>
      <protection locked="0"/>
    </xf>
    <xf numFmtId="1" fontId="0" fillId="2" borderId="10" xfId="0" applyNumberFormat="1" applyFill="1" applyBorder="1" applyAlignment="1">
      <alignment horizontal="center" vertical="center"/>
    </xf>
    <xf numFmtId="1" fontId="0" fillId="2" borderId="11" xfId="0" applyNumberFormat="1" applyFill="1" applyBorder="1" applyAlignment="1">
      <alignment horizontal="center" vertical="center"/>
    </xf>
    <xf numFmtId="1" fontId="0" fillId="0" borderId="0" xfId="0" applyNumberFormat="1" applyAlignment="1" applyProtection="1">
      <alignment vertical="center"/>
      <protection locked="0"/>
    </xf>
    <xf numFmtId="172" fontId="0" fillId="0" borderId="0" xfId="0" applyNumberFormat="1" applyAlignment="1" applyProtection="1">
      <alignment vertical="center"/>
      <protection locked="0"/>
    </xf>
    <xf numFmtId="0" fontId="0" fillId="2" borderId="12" xfId="0" applyFill="1" applyBorder="1" applyAlignment="1">
      <alignment vertical="center"/>
    </xf>
    <xf numFmtId="0" fontId="0" fillId="2" borderId="13"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14"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49" xfId="0" applyFill="1" applyBorder="1" applyAlignment="1">
      <alignment vertical="center"/>
    </xf>
    <xf numFmtId="0" fontId="0" fillId="2" borderId="50" xfId="0" applyFill="1" applyBorder="1" applyAlignment="1">
      <alignment vertical="center"/>
    </xf>
    <xf numFmtId="0" fontId="0" fillId="2" borderId="51" xfId="0" applyFill="1" applyBorder="1" applyAlignment="1">
      <alignment vertical="center"/>
    </xf>
    <xf numFmtId="0" fontId="0" fillId="0" borderId="6" xfId="0"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xf>
    <xf numFmtId="1" fontId="0" fillId="4" borderId="54" xfId="0" applyNumberFormat="1" applyFill="1" applyBorder="1" applyAlignment="1">
      <alignment horizontal="center" vertical="center"/>
    </xf>
    <xf numFmtId="1" fontId="0" fillId="4" borderId="55" xfId="0" applyNumberFormat="1" applyFill="1" applyBorder="1" applyAlignment="1">
      <alignment horizontal="center" vertical="center"/>
    </xf>
    <xf numFmtId="2" fontId="0" fillId="0" borderId="32" xfId="0" applyNumberFormat="1" applyFill="1" applyBorder="1" applyAlignment="1" applyProtection="1">
      <alignment horizontal="center" vertical="center"/>
      <protection locked="0"/>
    </xf>
    <xf numFmtId="1" fontId="0" fillId="0" borderId="54" xfId="0" applyNumberFormat="1" applyBorder="1" applyAlignment="1">
      <alignment horizontal="center" vertical="center"/>
    </xf>
    <xf numFmtId="1" fontId="0" fillId="0" borderId="55" xfId="0" applyNumberFormat="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56"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8" fillId="0" borderId="0"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 fillId="2" borderId="57" xfId="0" applyFont="1" applyFill="1" applyBorder="1" applyAlignment="1" applyProtection="1">
      <alignment horizontal="left" vertical="center"/>
      <protection/>
    </xf>
    <xf numFmtId="0" fontId="5" fillId="2" borderId="38" xfId="0" applyFont="1" applyFill="1" applyBorder="1" applyAlignment="1" applyProtection="1">
      <alignment horizontal="left" vertical="center"/>
      <protection/>
    </xf>
    <xf numFmtId="9" fontId="0" fillId="0" borderId="56" xfId="0" applyNumberFormat="1" applyBorder="1" applyAlignment="1" applyProtection="1">
      <alignment horizontal="center" vertical="center"/>
      <protection locked="0"/>
    </xf>
    <xf numFmtId="9" fontId="0" fillId="0" borderId="55" xfId="0" applyNumberFormat="1" applyBorder="1" applyAlignment="1" applyProtection="1">
      <alignment horizontal="center" vertical="center"/>
      <protection locked="0"/>
    </xf>
    <xf numFmtId="9" fontId="26" fillId="6" borderId="56" xfId="0" applyNumberFormat="1" applyFont="1" applyFill="1" applyBorder="1" applyAlignment="1" applyProtection="1">
      <alignment horizontal="center" vertical="center"/>
      <protection locked="0"/>
    </xf>
    <xf numFmtId="9" fontId="26" fillId="6" borderId="55" xfId="0" applyNumberFormat="1" applyFont="1" applyFill="1" applyBorder="1" applyAlignment="1" applyProtection="1">
      <alignment horizontal="center" vertical="center"/>
      <protection locked="0"/>
    </xf>
    <xf numFmtId="9" fontId="0" fillId="0" borderId="57" xfId="0" applyNumberFormat="1" applyBorder="1" applyAlignment="1" applyProtection="1">
      <alignment horizontal="center" vertical="center"/>
      <protection locked="0"/>
    </xf>
    <xf numFmtId="9" fontId="0" fillId="0" borderId="19" xfId="0" applyNumberFormat="1" applyBorder="1" applyAlignment="1" applyProtection="1">
      <alignment horizontal="center" vertical="center"/>
      <protection locked="0"/>
    </xf>
    <xf numFmtId="0" fontId="0" fillId="2" borderId="28" xfId="0" applyFont="1" applyFill="1" applyBorder="1" applyAlignment="1" applyProtection="1">
      <alignment horizontal="center" vertical="center" wrapText="1"/>
      <protection/>
    </xf>
    <xf numFmtId="0" fontId="0" fillId="2" borderId="30" xfId="0" applyFont="1" applyFill="1" applyBorder="1" applyAlignment="1" applyProtection="1">
      <alignment horizontal="center" vertical="center" wrapText="1"/>
      <protection/>
    </xf>
    <xf numFmtId="0" fontId="0" fillId="0" borderId="56" xfId="0" applyNumberFormat="1" applyBorder="1" applyAlignment="1" applyProtection="1">
      <alignment horizontal="center" vertical="center"/>
      <protection locked="0"/>
    </xf>
    <xf numFmtId="0" fontId="0" fillId="0" borderId="55" xfId="0" applyNumberFormat="1" applyBorder="1" applyAlignment="1" applyProtection="1">
      <alignment horizontal="center" vertical="center"/>
      <protection locked="0"/>
    </xf>
    <xf numFmtId="0" fontId="0" fillId="2" borderId="13"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58"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0" fontId="0" fillId="2" borderId="57"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0" fillId="2" borderId="59" xfId="0" applyFont="1" applyFill="1" applyBorder="1" applyAlignment="1" applyProtection="1">
      <alignment horizontal="center" vertical="center"/>
      <protection/>
    </xf>
    <xf numFmtId="0" fontId="0" fillId="2" borderId="37"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0" xfId="0" applyFont="1" applyFill="1" applyBorder="1" applyAlignment="1" applyProtection="1">
      <alignment horizontal="center" vertical="center"/>
      <protection/>
    </xf>
    <xf numFmtId="0" fontId="2" fillId="0" borderId="10" xfId="0" applyFont="1" applyBorder="1" applyAlignment="1">
      <alignment horizontal="center" vertical="center" wrapText="1"/>
    </xf>
    <xf numFmtId="0" fontId="21" fillId="2" borderId="28" xfId="0" applyFont="1" applyFill="1" applyBorder="1" applyAlignment="1" applyProtection="1">
      <alignment horizontal="center" vertical="center" wrapText="1"/>
      <protection/>
    </xf>
    <xf numFmtId="0" fontId="21" fillId="2" borderId="30" xfId="0" applyFont="1" applyFill="1" applyBorder="1" applyAlignment="1" applyProtection="1">
      <alignment horizontal="center" vertical="center" wrapText="1"/>
      <protection/>
    </xf>
    <xf numFmtId="0" fontId="21" fillId="2" borderId="56" xfId="0" applyFont="1" applyFill="1" applyBorder="1" applyAlignment="1" applyProtection="1">
      <alignment horizontal="center" vertical="center" wrapText="1"/>
      <protection/>
    </xf>
    <xf numFmtId="0" fontId="21" fillId="2" borderId="55" xfId="0" applyFont="1" applyFill="1" applyBorder="1" applyAlignment="1" applyProtection="1">
      <alignment horizontal="center" vertical="center" wrapText="1"/>
      <protection/>
    </xf>
    <xf numFmtId="1" fontId="0" fillId="0" borderId="57" xfId="0" applyNumberFormat="1" applyFill="1" applyBorder="1" applyAlignment="1" applyProtection="1">
      <alignment horizontal="center" vertical="center"/>
      <protection locked="0"/>
    </xf>
    <xf numFmtId="1" fontId="0" fillId="0" borderId="19" xfId="0" applyNumberForma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1" fillId="2" borderId="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54" xfId="0" applyFont="1" applyFill="1" applyBorder="1" applyAlignment="1" applyProtection="1">
      <alignment horizontal="center" vertical="center" wrapText="1"/>
      <protection/>
    </xf>
    <xf numFmtId="0" fontId="21" fillId="2" borderId="5" xfId="0" applyFont="1" applyFill="1" applyBorder="1" applyAlignment="1" applyProtection="1">
      <alignment horizontal="center" vertical="center" wrapText="1"/>
      <protection/>
    </xf>
    <xf numFmtId="1" fontId="0" fillId="0" borderId="38" xfId="0" applyNumberForma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55" xfId="0" applyFont="1" applyFill="1" applyBorder="1" applyAlignment="1" applyProtection="1">
      <alignment horizontal="center" vertical="center" wrapText="1"/>
      <protection/>
    </xf>
    <xf numFmtId="0" fontId="5" fillId="2" borderId="12" xfId="0" applyFont="1" applyFill="1" applyBorder="1" applyAlignment="1" applyProtection="1">
      <alignment horizontal="left" vertical="center"/>
      <protection/>
    </xf>
    <xf numFmtId="0" fontId="5" fillId="2" borderId="48" xfId="0" applyFont="1" applyFill="1" applyBorder="1" applyAlignment="1" applyProtection="1">
      <alignment horizontal="left" vertical="center"/>
      <protection/>
    </xf>
    <xf numFmtId="0" fontId="5" fillId="2" borderId="58" xfId="0" applyFont="1" applyFill="1" applyBorder="1" applyAlignment="1" applyProtection="1">
      <alignment horizontal="left" vertical="center"/>
      <protection/>
    </xf>
    <xf numFmtId="0" fontId="5" fillId="2" borderId="31" xfId="0" applyFont="1" applyFill="1" applyBorder="1" applyAlignment="1" applyProtection="1">
      <alignment horizontal="left" vertical="center"/>
      <protection/>
    </xf>
    <xf numFmtId="0" fontId="0" fillId="0" borderId="6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2" fontId="0" fillId="0" borderId="60" xfId="0" applyNumberFormat="1" applyFill="1" applyBorder="1" applyAlignment="1" applyProtection="1">
      <alignment horizontal="center" vertical="center"/>
      <protection locked="0"/>
    </xf>
    <xf numFmtId="2" fontId="0" fillId="0" borderId="38" xfId="0" applyNumberFormat="1" applyFill="1" applyBorder="1" applyAlignment="1" applyProtection="1">
      <alignment horizontal="center" vertical="center"/>
      <protection locked="0"/>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1" fontId="0" fillId="0" borderId="63" xfId="0" applyNumberFormat="1" applyBorder="1" applyAlignment="1">
      <alignment horizontal="center" vertical="center"/>
    </xf>
    <xf numFmtId="1" fontId="0" fillId="0" borderId="30" xfId="0" applyNumberFormat="1" applyBorder="1" applyAlignment="1">
      <alignment horizontal="center" vertical="center"/>
    </xf>
    <xf numFmtId="0" fontId="0" fillId="2" borderId="12"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4" xfId="0" applyFill="1" applyBorder="1" applyAlignment="1">
      <alignment horizontal="center" vertical="center" wrapText="1"/>
    </xf>
    <xf numFmtId="1" fontId="0" fillId="3" borderId="54" xfId="0" applyNumberFormat="1" applyFill="1" applyBorder="1" applyAlignment="1">
      <alignment horizontal="center" vertical="center"/>
    </xf>
    <xf numFmtId="1" fontId="0" fillId="3" borderId="55" xfId="0" applyNumberFormat="1" applyFill="1" applyBorder="1" applyAlignment="1">
      <alignment horizontal="center" vertical="center"/>
    </xf>
    <xf numFmtId="0" fontId="0" fillId="2" borderId="12"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1" fontId="0" fillId="5" borderId="54" xfId="0" applyNumberFormat="1" applyFill="1" applyBorder="1" applyAlignment="1">
      <alignment horizontal="center" vertical="center"/>
    </xf>
    <xf numFmtId="1" fontId="0" fillId="5" borderId="55" xfId="0" applyNumberForma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 fontId="0" fillId="0" borderId="60" xfId="0" applyNumberFormat="1" applyBorder="1" applyAlignment="1">
      <alignment horizontal="center" vertical="center"/>
    </xf>
    <xf numFmtId="1" fontId="0" fillId="0" borderId="19" xfId="0" applyNumberFormat="1" applyBorder="1" applyAlignment="1">
      <alignment horizontal="center" vertical="center"/>
    </xf>
    <xf numFmtId="2" fontId="0" fillId="0" borderId="1" xfId="0" applyNumberForma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1" fontId="0" fillId="0" borderId="60" xfId="0" applyNumberForma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Leistungs- und Drehmomentverlauf</a:t>
            </a:r>
          </a:p>
        </c:rich>
      </c:tx>
      <c:layout>
        <c:manualLayout>
          <c:xMode val="factor"/>
          <c:yMode val="factor"/>
          <c:x val="-0.00925"/>
          <c:y val="0"/>
        </c:manualLayout>
      </c:layout>
      <c:spPr>
        <a:noFill/>
        <a:ln>
          <a:noFill/>
        </a:ln>
      </c:spPr>
    </c:title>
    <c:plotArea>
      <c:layout>
        <c:manualLayout>
          <c:xMode val="edge"/>
          <c:yMode val="edge"/>
          <c:x val="0"/>
          <c:y val="0.07975"/>
          <c:w val="1"/>
          <c:h val="0.8775"/>
        </c:manualLayout>
      </c:layout>
      <c:scatterChart>
        <c:scatterStyle val="smooth"/>
        <c:varyColors val="0"/>
        <c:ser>
          <c:idx val="0"/>
          <c:order val="0"/>
          <c:tx>
            <c:v>Drehmoment</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'Leistung u. Drehmoment'!$C$1:$M$1</c:f>
              <c:numCache>
                <c:ptCount val="11"/>
                <c:pt idx="0">
                  <c:v>3000</c:v>
                </c:pt>
                <c:pt idx="1">
                  <c:v>4000</c:v>
                </c:pt>
                <c:pt idx="2">
                  <c:v>4500</c:v>
                </c:pt>
                <c:pt idx="3">
                  <c:v>5000</c:v>
                </c:pt>
                <c:pt idx="4">
                  <c:v>5500</c:v>
                </c:pt>
                <c:pt idx="5">
                  <c:v>6000</c:v>
                </c:pt>
                <c:pt idx="6">
                  <c:v>6500</c:v>
                </c:pt>
                <c:pt idx="7">
                  <c:v>7000</c:v>
                </c:pt>
                <c:pt idx="8">
                  <c:v>7500</c:v>
                </c:pt>
                <c:pt idx="9">
                  <c:v>8000</c:v>
                </c:pt>
                <c:pt idx="10">
                  <c:v>8500</c:v>
                </c:pt>
              </c:numCache>
            </c:numRef>
          </c:xVal>
          <c:yVal>
            <c:numRef>
              <c:f>'Leistung u. Drehmoment'!$C$4:$M$4</c:f>
              <c:numCache>
                <c:ptCount val="11"/>
                <c:pt idx="0">
                  <c:v>35.016666666666666</c:v>
                </c:pt>
                <c:pt idx="1">
                  <c:v>47.75</c:v>
                </c:pt>
                <c:pt idx="2">
                  <c:v>53.05555555555556</c:v>
                </c:pt>
                <c:pt idx="3">
                  <c:v>57.300000000000004</c:v>
                </c:pt>
                <c:pt idx="4">
                  <c:v>60.77272727272727</c:v>
                </c:pt>
                <c:pt idx="5">
                  <c:v>62.074999999999996</c:v>
                </c:pt>
                <c:pt idx="6">
                  <c:v>61.707692307692305</c:v>
                </c:pt>
                <c:pt idx="7">
                  <c:v>59.34642857142857</c:v>
                </c:pt>
                <c:pt idx="8">
                  <c:v>54.75333333333333</c:v>
                </c:pt>
                <c:pt idx="9">
                  <c:v>47.75</c:v>
                </c:pt>
                <c:pt idx="10">
                  <c:v>38.2</c:v>
                </c:pt>
              </c:numCache>
            </c:numRef>
          </c:yVal>
          <c:smooth val="1"/>
        </c:ser>
        <c:axId val="44771731"/>
        <c:axId val="45161592"/>
      </c:scatterChart>
      <c:scatterChart>
        <c:scatterStyle val="lineMarker"/>
        <c:varyColors val="0"/>
        <c:ser>
          <c:idx val="1"/>
          <c:order val="1"/>
          <c:tx>
            <c:v>Leistung</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'Leistung u. Drehmoment'!$C$1:$M$1</c:f>
              <c:numCache>
                <c:ptCount val="11"/>
                <c:pt idx="0">
                  <c:v>3000</c:v>
                </c:pt>
                <c:pt idx="1">
                  <c:v>4000</c:v>
                </c:pt>
                <c:pt idx="2">
                  <c:v>4500</c:v>
                </c:pt>
                <c:pt idx="3">
                  <c:v>5000</c:v>
                </c:pt>
                <c:pt idx="4">
                  <c:v>5500</c:v>
                </c:pt>
                <c:pt idx="5">
                  <c:v>6000</c:v>
                </c:pt>
                <c:pt idx="6">
                  <c:v>6500</c:v>
                </c:pt>
                <c:pt idx="7">
                  <c:v>7000</c:v>
                </c:pt>
                <c:pt idx="8">
                  <c:v>7500</c:v>
                </c:pt>
                <c:pt idx="9">
                  <c:v>8000</c:v>
                </c:pt>
                <c:pt idx="10">
                  <c:v>8500</c:v>
                </c:pt>
              </c:numCache>
            </c:numRef>
          </c:xVal>
          <c:yVal>
            <c:numRef>
              <c:f>'Leistung u. Drehmoment'!$C$5:$M$5</c:f>
              <c:numCache>
                <c:ptCount val="11"/>
                <c:pt idx="0">
                  <c:v>11</c:v>
                </c:pt>
                <c:pt idx="1">
                  <c:v>20</c:v>
                </c:pt>
                <c:pt idx="2">
                  <c:v>25</c:v>
                </c:pt>
                <c:pt idx="3">
                  <c:v>30</c:v>
                </c:pt>
                <c:pt idx="4">
                  <c:v>35</c:v>
                </c:pt>
                <c:pt idx="5">
                  <c:v>39</c:v>
                </c:pt>
                <c:pt idx="6">
                  <c:v>42</c:v>
                </c:pt>
                <c:pt idx="7">
                  <c:v>43.5</c:v>
                </c:pt>
                <c:pt idx="8">
                  <c:v>43</c:v>
                </c:pt>
                <c:pt idx="9">
                  <c:v>40</c:v>
                </c:pt>
                <c:pt idx="10">
                  <c:v>34</c:v>
                </c:pt>
              </c:numCache>
            </c:numRef>
          </c:yVal>
          <c:smooth val="1"/>
        </c:ser>
        <c:axId val="50229785"/>
        <c:axId val="49007430"/>
      </c:scatterChart>
      <c:valAx>
        <c:axId val="44771731"/>
        <c:scaling>
          <c:orientation val="minMax"/>
          <c:max val="9000"/>
          <c:min val="3000"/>
        </c:scaling>
        <c:axPos val="b"/>
        <c:title>
          <c:tx>
            <c:rich>
              <a:bodyPr vert="horz" rot="0" anchor="ctr"/>
              <a:lstStyle/>
              <a:p>
                <a:pPr algn="ctr">
                  <a:defRPr/>
                </a:pPr>
                <a:r>
                  <a:rPr lang="en-US" cap="none" sz="1100" b="1" i="0" u="none" baseline="0">
                    <a:latin typeface="Arial"/>
                    <a:ea typeface="Arial"/>
                    <a:cs typeface="Arial"/>
                  </a:rPr>
                  <a:t>n/min</a:t>
                </a:r>
                <a:r>
                  <a:rPr lang="en-US" cap="none" sz="1100" b="1" i="0" u="none" baseline="30000">
                    <a:latin typeface="Arial"/>
                    <a:ea typeface="Arial"/>
                    <a:cs typeface="Arial"/>
                  </a:rPr>
                  <a:t>-1</a:t>
                </a:r>
              </a:p>
            </c:rich>
          </c:tx>
          <c:layout>
            <c:manualLayout>
              <c:xMode val="factor"/>
              <c:yMode val="factor"/>
              <c:x val="0.009"/>
              <c:y val="0.12775"/>
            </c:manualLayout>
          </c:layout>
          <c:overlay val="0"/>
          <c:spPr>
            <a:noFill/>
            <a:ln>
              <a:noFill/>
            </a:ln>
          </c:spPr>
        </c:title>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45161592"/>
        <c:crosses val="max"/>
        <c:crossBetween val="midCat"/>
        <c:dispUnits/>
        <c:majorUnit val="1000"/>
        <c:minorUnit val="200"/>
      </c:valAx>
      <c:valAx>
        <c:axId val="45161592"/>
        <c:scaling>
          <c:orientation val="minMax"/>
          <c:max val="130"/>
          <c:min val="20"/>
        </c:scaling>
        <c:axPos val="l"/>
        <c:title>
          <c:tx>
            <c:rich>
              <a:bodyPr vert="horz" rot="0" anchor="ctr"/>
              <a:lstStyle/>
              <a:p>
                <a:pPr algn="ctr">
                  <a:defRPr/>
                </a:pPr>
                <a:r>
                  <a:rPr lang="en-US" cap="none" sz="1100" b="1" i="0" u="none" baseline="0">
                    <a:solidFill>
                      <a:srgbClr val="0000FF"/>
                    </a:solidFill>
                    <a:latin typeface="Arial"/>
                    <a:ea typeface="Arial"/>
                    <a:cs typeface="Arial"/>
                  </a:rPr>
                  <a:t>M</a:t>
                </a:r>
                <a:r>
                  <a:rPr lang="en-US" cap="none" sz="1100" b="0" i="0" u="none" baseline="0">
                    <a:solidFill>
                      <a:srgbClr val="0000FF"/>
                    </a:solidFill>
                    <a:latin typeface="Arial"/>
                    <a:ea typeface="Arial"/>
                    <a:cs typeface="Arial"/>
                  </a:rPr>
                  <a:t>/Nm</a:t>
                </a:r>
              </a:p>
            </c:rich>
          </c:tx>
          <c:layout>
            <c:manualLayout>
              <c:xMode val="factor"/>
              <c:yMode val="factor"/>
              <c:x val="0.021"/>
              <c:y val="0.14325"/>
            </c:manualLayout>
          </c:layout>
          <c:overlay val="0"/>
          <c:spPr>
            <a:noFill/>
            <a:ln>
              <a:noFill/>
            </a:ln>
          </c:spPr>
        </c:title>
        <c:majorGridlines/>
        <c:minorGridlines/>
        <c:delete val="0"/>
        <c:numFmt formatCode="0" sourceLinked="0"/>
        <c:majorTickMark val="out"/>
        <c:minorTickMark val="none"/>
        <c:tickLblPos val="nextTo"/>
        <c:spPr>
          <a:ln w="25400">
            <a:solidFill/>
          </a:ln>
        </c:spPr>
        <c:txPr>
          <a:bodyPr/>
          <a:lstStyle/>
          <a:p>
            <a:pPr>
              <a:defRPr lang="en-US" cap="none" sz="1100" b="0" i="0" u="none" baseline="0">
                <a:solidFill>
                  <a:srgbClr val="0000FF"/>
                </a:solidFill>
                <a:latin typeface="Arial"/>
                <a:ea typeface="Arial"/>
                <a:cs typeface="Arial"/>
              </a:defRPr>
            </a:pPr>
          </a:p>
        </c:txPr>
        <c:crossAx val="44771731"/>
        <c:crosses val="max"/>
        <c:crossBetween val="midCat"/>
        <c:dispUnits/>
        <c:majorUnit val="10"/>
        <c:minorUnit val="5"/>
      </c:valAx>
      <c:valAx>
        <c:axId val="50229785"/>
        <c:scaling>
          <c:orientation val="minMax"/>
        </c:scaling>
        <c:axPos val="b"/>
        <c:delete val="1"/>
        <c:majorTickMark val="in"/>
        <c:minorTickMark val="none"/>
        <c:tickLblPos val="nextTo"/>
        <c:crossAx val="49007430"/>
        <c:crosses val="autoZero"/>
        <c:crossBetween val="midCat"/>
        <c:dispUnits/>
      </c:valAx>
      <c:valAx>
        <c:axId val="49007430"/>
        <c:scaling>
          <c:orientation val="minMax"/>
          <c:max val="50"/>
          <c:min val="0"/>
        </c:scaling>
        <c:axPos val="l"/>
        <c:title>
          <c:tx>
            <c:rich>
              <a:bodyPr vert="horz" rot="0" anchor="ctr"/>
              <a:lstStyle/>
              <a:p>
                <a:pPr algn="ctr">
                  <a:defRPr/>
                </a:pPr>
                <a:r>
                  <a:rPr lang="en-US" cap="none" sz="1100" b="1" i="0" u="none" baseline="0">
                    <a:solidFill>
                      <a:srgbClr val="FF0000"/>
                    </a:solidFill>
                    <a:latin typeface="Arial"/>
                    <a:ea typeface="Arial"/>
                    <a:cs typeface="Arial"/>
                  </a:rPr>
                  <a:t>P</a:t>
                </a:r>
                <a:r>
                  <a:rPr lang="en-US" cap="none" sz="1100" b="0" i="0" u="none" baseline="0">
                    <a:solidFill>
                      <a:srgbClr val="FF0000"/>
                    </a:solidFill>
                    <a:latin typeface="Arial"/>
                    <a:ea typeface="Arial"/>
                    <a:cs typeface="Arial"/>
                  </a:rPr>
                  <a:t>/kW</a:t>
                </a:r>
              </a:p>
            </c:rich>
          </c:tx>
          <c:layout>
            <c:manualLayout>
              <c:xMode val="factor"/>
              <c:yMode val="factor"/>
              <c:x val="0.019"/>
              <c:y val="0.14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100" b="0" i="0" u="none" baseline="0">
                <a:solidFill>
                  <a:srgbClr val="FF0000"/>
                </a:solidFill>
                <a:latin typeface="Arial"/>
                <a:ea typeface="Arial"/>
                <a:cs typeface="Arial"/>
              </a:defRPr>
            </a:pPr>
          </a:p>
        </c:txPr>
        <c:crossAx val="50229785"/>
        <c:crosses val="autoZero"/>
        <c:crossBetween val="midCat"/>
        <c:dispUnits/>
        <c:majorUnit val="10"/>
        <c:minorUnit val="5"/>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Getriebeschaubild</a:t>
            </a:r>
          </a:p>
        </c:rich>
      </c:tx>
      <c:layout>
        <c:manualLayout>
          <c:xMode val="factor"/>
          <c:yMode val="factor"/>
          <c:x val="0.0375"/>
          <c:y val="-0.01975"/>
        </c:manualLayout>
      </c:layout>
      <c:spPr>
        <a:noFill/>
        <a:ln>
          <a:noFill/>
        </a:ln>
      </c:spPr>
    </c:title>
    <c:plotArea>
      <c:layout>
        <c:manualLayout>
          <c:xMode val="edge"/>
          <c:yMode val="edge"/>
          <c:x val="0.02"/>
          <c:y val="0.0855"/>
          <c:w val="0.98"/>
          <c:h val="0.89225"/>
        </c:manualLayout>
      </c:layout>
      <c:scatterChart>
        <c:scatterStyle val="smooth"/>
        <c:varyColors val="0"/>
        <c:ser>
          <c:idx val="0"/>
          <c:order val="0"/>
          <c:tx>
            <c:v>1.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Zugkraftdiagramm'!$L$114:$M$114</c:f>
              <c:numCache/>
            </c:numRef>
          </c:xVal>
          <c:yVal>
            <c:numRef>
              <c:f>'Getriebe- u. Zugkraftdiagramm'!$J$114:$K$114</c:f>
              <c:numCache/>
            </c:numRef>
          </c:yVal>
          <c:smooth val="1"/>
        </c:ser>
        <c:ser>
          <c:idx val="1"/>
          <c:order val="1"/>
          <c:tx>
            <c:v>2.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Zugkraftdiagramm'!$L$115:$M$115</c:f>
              <c:numCache/>
            </c:numRef>
          </c:xVal>
          <c:yVal>
            <c:numRef>
              <c:f>'Getriebe- u. Zugkraftdiagramm'!$J$115:$K$115</c:f>
              <c:numCache/>
            </c:numRef>
          </c:yVal>
          <c:smooth val="1"/>
        </c:ser>
        <c:ser>
          <c:idx val="2"/>
          <c:order val="2"/>
          <c:tx>
            <c:v>3.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Zugkraftdiagramm'!$L$116:$M$116</c:f>
              <c:numCache/>
            </c:numRef>
          </c:xVal>
          <c:yVal>
            <c:numRef>
              <c:f>'Getriebe- u. Zugkraftdiagramm'!$J$116:$K$116</c:f>
              <c:numCache/>
            </c:numRef>
          </c:yVal>
          <c:smooth val="1"/>
        </c:ser>
        <c:ser>
          <c:idx val="3"/>
          <c:order val="3"/>
          <c:tx>
            <c:v>4.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Zugkraftdiagramm'!$L$117:$M$117</c:f>
              <c:numCache/>
            </c:numRef>
          </c:xVal>
          <c:yVal>
            <c:numRef>
              <c:f>'Getriebe- u. Zugkraftdiagramm'!$J$117:$K$117</c:f>
              <c:numCache/>
            </c:numRef>
          </c:yVal>
          <c:smooth val="1"/>
        </c:ser>
        <c:ser>
          <c:idx val="5"/>
          <c:order val="5"/>
          <c:tx>
            <c:v>6.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Zugkraftdiagramm'!$L$119:$M$119</c:f>
              <c:numCache/>
            </c:numRef>
          </c:xVal>
          <c:yVal>
            <c:numRef>
              <c:f>'Getriebe- u. Zugkraftdiagramm'!$J$119:$K$119</c:f>
              <c:numCache/>
            </c:numRef>
          </c:yVal>
          <c:smooth val="1"/>
        </c:ser>
        <c:ser>
          <c:idx val="12"/>
          <c:order val="6"/>
          <c:tx>
            <c:v>7.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Zugkraftdiagramm'!$L$120:$M$120</c:f>
              <c:numCache/>
            </c:numRef>
          </c:xVal>
          <c:yVal>
            <c:numRef>
              <c:f>'Getriebe- u. Zugkraftdiagramm'!$J$120:$K$120</c:f>
              <c:numCache/>
            </c:numRef>
          </c:yVal>
          <c:smooth val="1"/>
        </c:ser>
        <c:ser>
          <c:idx val="13"/>
          <c:order val="7"/>
          <c:tx>
            <c:v>Opt Schalt 1.</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Zugkraftdiagramm'!$H$115,'Getriebe- u. Zugkraftdiagramm'!$I$114)</c:f>
              <c:numCache/>
            </c:numRef>
          </c:xVal>
          <c:yVal>
            <c:numRef>
              <c:f>('Getriebe- u. Zugkraftdiagramm'!$G$114,'Getriebe- u. Zugkraftdiagramm'!$F$115)</c:f>
              <c:numCache/>
            </c:numRef>
          </c:yVal>
          <c:smooth val="1"/>
        </c:ser>
        <c:ser>
          <c:idx val="14"/>
          <c:order val="8"/>
          <c:tx>
            <c:v>Opt Schalt 2.</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Zugkraftdiagramm'!$H$116,'Getriebe- u. Zugkraftdiagramm'!$I$115)</c:f>
              <c:numCache/>
            </c:numRef>
          </c:xVal>
          <c:yVal>
            <c:numRef>
              <c:f>('Getriebe- u. Zugkraftdiagramm'!$F$116,'Getriebe- u. Zugkraftdiagramm'!$G$115)</c:f>
              <c:numCache/>
            </c:numRef>
          </c:yVal>
          <c:smooth val="1"/>
        </c:ser>
        <c:ser>
          <c:idx val="15"/>
          <c:order val="9"/>
          <c:tx>
            <c:v>Opt Schalt 3.</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Zugkraftdiagramm'!$H$117,'Getriebe- u. Zugkraftdiagramm'!$I$116)</c:f>
              <c:numCache/>
            </c:numRef>
          </c:xVal>
          <c:yVal>
            <c:numRef>
              <c:f>('Getriebe- u. Zugkraftdiagramm'!$F$117,'Getriebe- u. Zugkraftdiagramm'!$G$116)</c:f>
              <c:numCache/>
            </c:numRef>
          </c:yVal>
          <c:smooth val="1"/>
        </c:ser>
        <c:ser>
          <c:idx val="16"/>
          <c:order val="10"/>
          <c:tx>
            <c:v>Opt Schalt 4.</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Zugkraftdiagramm'!$H$118,'Getriebe- u. Zugkraftdiagramm'!$I$117)</c:f>
              <c:numCache/>
            </c:numRef>
          </c:xVal>
          <c:yVal>
            <c:numRef>
              <c:f>('Getriebe- u. Zugkraftdiagramm'!$F$118,'Getriebe- u. Zugkraftdiagramm'!$G$117)</c:f>
              <c:numCache/>
            </c:numRef>
          </c:yVal>
          <c:smooth val="1"/>
        </c:ser>
        <c:ser>
          <c:idx val="17"/>
          <c:order val="11"/>
          <c:tx>
            <c:v>Opt Schalt 5.</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Zugkraftdiagramm'!$H$119,'Getriebe- u. Zugkraftdiagramm'!$I$118)</c:f>
              <c:numCache/>
            </c:numRef>
          </c:xVal>
          <c:yVal>
            <c:numRef>
              <c:f>('Getriebe- u. Zugkraftdiagramm'!$F$119,'Getriebe- u. Zugkraftdiagramm'!$G$118)</c:f>
              <c:numCache/>
            </c:numRef>
          </c:yVal>
          <c:smooth val="1"/>
        </c:ser>
        <c:ser>
          <c:idx val="18"/>
          <c:order val="12"/>
          <c:tx>
            <c:v>Opt Schalt 6.</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Zugkraftdiagramm'!$H$120,'Getriebe- u. Zugkraftdiagramm'!$I$119)</c:f>
              <c:numCache/>
            </c:numRef>
          </c:xVal>
          <c:yVal>
            <c:numRef>
              <c:f>('Getriebe- u. Zugkraftdiagramm'!$F$120,'Getriebe- u. Zugkraftdiagramm'!$G$119)</c:f>
              <c:numCache/>
            </c:numRef>
          </c:yVal>
          <c:smooth val="1"/>
        </c:ser>
        <c:ser>
          <c:idx val="19"/>
          <c:order val="13"/>
          <c:tx>
            <c:v>Opt Schalt 7.</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Zugkraftdiagramm'!$I$120,'Getriebe- u. Zugkraftdiagramm'!$I$120)</c:f>
              <c:numCache/>
            </c:numRef>
          </c:xVal>
          <c:yVal>
            <c:numRef>
              <c:f>('Getriebe- u. Zugkraftdiagramm'!$G$120,'Getriebe- u. Zugkraftdiagramm'!$F$114)</c:f>
              <c:numCache/>
            </c:numRef>
          </c:yVal>
          <c:smooth val="1"/>
        </c:ser>
        <c:ser>
          <c:idx val="6"/>
          <c:order val="14"/>
          <c:tx>
            <c:v>Schaltpunkt 1-2</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Zugkraftdiagramm'!$E$114,'Getriebe- u. Zugkraftdiagramm'!$D$115)</c:f>
              <c:numCache/>
            </c:numRef>
          </c:xVal>
          <c:yVal>
            <c:numRef>
              <c:f>('Getriebe- u. Zugkraftdiagramm'!$B$115,'Getriebe- u. Zugkraftdiagramm'!$C$114)</c:f>
              <c:numCache/>
            </c:numRef>
          </c:yVal>
          <c:smooth val="1"/>
        </c:ser>
        <c:ser>
          <c:idx val="7"/>
          <c:order val="15"/>
          <c:tx>
            <c:v>Schaltpunkt 2-3</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Zugkraftdiagramm'!$E$115,'Getriebe- u. Zugkraftdiagramm'!$E$115)</c:f>
              <c:numCache/>
            </c:numRef>
          </c:xVal>
          <c:yVal>
            <c:numRef>
              <c:f>('Getriebe- u. Zugkraftdiagramm'!$C$115,'Getriebe- u. Zugkraftdiagramm'!$B$116)</c:f>
              <c:numCache/>
            </c:numRef>
          </c:yVal>
          <c:smooth val="1"/>
        </c:ser>
        <c:ser>
          <c:idx val="8"/>
          <c:order val="16"/>
          <c:tx>
            <c:v>Schaltpunkt 3-4</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Zugkraftdiagramm'!$E$116,'Getriebe- u. Zugkraftdiagramm'!$D$117)</c:f>
              <c:numCache/>
            </c:numRef>
          </c:xVal>
          <c:yVal>
            <c:numRef>
              <c:f>('Getriebe- u. Zugkraftdiagramm'!$C$116,'Getriebe- u. Zugkraftdiagramm'!$B$117)</c:f>
              <c:numCache/>
            </c:numRef>
          </c:yVal>
          <c:smooth val="1"/>
        </c:ser>
        <c:ser>
          <c:idx val="9"/>
          <c:order val="17"/>
          <c:tx>
            <c:v>Schaltpunkt 4-5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Zugkraftdiagramm'!$E$117,'Getriebe- u. Zugkraftdiagramm'!$D$118)</c:f>
              <c:numCache/>
            </c:numRef>
          </c:xVal>
          <c:yVal>
            <c:numRef>
              <c:f>('Getriebe- u. Zugkraftdiagramm'!$C$117,'Getriebe- u. Zugkraftdiagramm'!$B$118)</c:f>
              <c:numCache/>
            </c:numRef>
          </c:yVal>
          <c:smooth val="1"/>
        </c:ser>
        <c:ser>
          <c:idx val="10"/>
          <c:order val="18"/>
          <c:tx>
            <c:v>Schaltpunkt 5-6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Zugkraftdiagramm'!$E$118,'Getriebe- u. Zugkraftdiagramm'!$D$119)</c:f>
              <c:numCache/>
            </c:numRef>
          </c:xVal>
          <c:yVal>
            <c:numRef>
              <c:f>('Getriebe- u. Zugkraftdiagramm'!$C$118,'Getriebe- u. Zugkraftdiagramm'!$B$119)</c:f>
              <c:numCache/>
            </c:numRef>
          </c:yVal>
          <c:smooth val="1"/>
        </c:ser>
        <c:ser>
          <c:idx val="11"/>
          <c:order val="19"/>
          <c:tx>
            <c:v>Schaltpunkt 6-7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Zugkraftdiagramm'!$E$119,'Getriebe- u. Zugkraftdiagramm'!$D$120)</c:f>
              <c:numCache/>
            </c:numRef>
          </c:xVal>
          <c:yVal>
            <c:numRef>
              <c:f>('Getriebe- u. Zugkraftdiagramm'!$C$119,'Getriebe- u. Zugkraftdiagramm'!$B$120)</c:f>
              <c:numCache/>
            </c:numRef>
          </c:yVal>
          <c:smooth val="1"/>
        </c:ser>
        <c:axId val="33116815"/>
        <c:axId val="27865412"/>
      </c:scatterChart>
      <c:scatterChart>
        <c:scatterStyle val="lineMarker"/>
        <c:varyColors val="0"/>
        <c:ser>
          <c:idx val="4"/>
          <c:order val="4"/>
          <c:tx>
            <c:v>5.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Zugkraftdiagramm'!$L$118:$M$118</c:f>
              <c:numCache/>
            </c:numRef>
          </c:xVal>
          <c:yVal>
            <c:numRef>
              <c:f>'Getriebe- u. Zugkraftdiagramm'!$J$118:$K$118</c:f>
              <c:numCache/>
            </c:numRef>
          </c:yVal>
          <c:smooth val="1"/>
        </c:ser>
        <c:axId val="26706037"/>
        <c:axId val="11634162"/>
      </c:scatterChart>
      <c:valAx>
        <c:axId val="33116815"/>
        <c:scaling>
          <c:orientation val="minMax"/>
          <c:max val="200"/>
          <c:min val="0"/>
        </c:scaling>
        <c:axPos val="b"/>
        <c:title>
          <c:tx>
            <c:rich>
              <a:bodyPr vert="horz" rot="0" anchor="ctr"/>
              <a:lstStyle/>
              <a:p>
                <a:pPr algn="l">
                  <a:defRPr/>
                </a:pPr>
                <a:r>
                  <a:rPr lang="en-US" cap="none" sz="1100" b="1" i="0" u="sng" baseline="0">
                    <a:latin typeface="Arial"/>
                    <a:ea typeface="Arial"/>
                    <a:cs typeface="Arial"/>
                  </a:rPr>
                  <a:t>   v     
</a:t>
                </a:r>
                <a:r>
                  <a:rPr lang="en-US" cap="none" sz="1000" b="0" i="0" u="none" baseline="0">
                    <a:latin typeface="Arial"/>
                    <a:ea typeface="Arial"/>
                    <a:cs typeface="Arial"/>
                  </a:rPr>
                  <a:t>km/h</a:t>
                </a:r>
              </a:p>
            </c:rich>
          </c:tx>
          <c:layout>
            <c:manualLayout>
              <c:xMode val="factor"/>
              <c:yMode val="factor"/>
              <c:x val="0.02775"/>
              <c:y val="0.11275"/>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27865412"/>
        <c:crosses val="autoZero"/>
        <c:crossBetween val="midCat"/>
        <c:dispUnits/>
        <c:majorUnit val="20"/>
        <c:minorUnit val="5"/>
      </c:valAx>
      <c:valAx>
        <c:axId val="27865412"/>
        <c:scaling>
          <c:orientation val="minMax"/>
        </c:scaling>
        <c:axPos val="l"/>
        <c:title>
          <c:tx>
            <c:rich>
              <a:bodyPr vert="horz" rot="0" anchor="ctr"/>
              <a:lstStyle/>
              <a:p>
                <a:pPr algn="just">
                  <a:defRPr/>
                </a:pPr>
                <a:r>
                  <a:rPr lang="en-US" cap="none" sz="1100" b="1" i="0" u="sng" baseline="0">
                    <a:latin typeface="Arial"/>
                    <a:ea typeface="Arial"/>
                    <a:cs typeface="Arial"/>
                  </a:rPr>
                  <a:t>  n   
</a:t>
                </a:r>
                <a:r>
                  <a:rPr lang="en-US" cap="none" sz="1000" b="0" i="0" u="none" baseline="0">
                    <a:latin typeface="Arial"/>
                    <a:ea typeface="Arial"/>
                    <a:cs typeface="Arial"/>
                  </a:rPr>
                  <a:t>min</a:t>
                </a:r>
                <a:r>
                  <a:rPr lang="en-US" cap="none" sz="1000" b="0" i="0" u="none" baseline="30000">
                    <a:latin typeface="Arial"/>
                    <a:ea typeface="Arial"/>
                    <a:cs typeface="Arial"/>
                  </a:rPr>
                  <a:t>-1</a:t>
                </a:r>
              </a:p>
            </c:rich>
          </c:tx>
          <c:layout>
            <c:manualLayout>
              <c:xMode val="factor"/>
              <c:yMode val="factor"/>
              <c:x val="0.015"/>
              <c:y val="0.16725"/>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33116815"/>
        <c:crosses val="autoZero"/>
        <c:crossBetween val="midCat"/>
        <c:dispUnits/>
      </c:valAx>
      <c:valAx>
        <c:axId val="26706037"/>
        <c:scaling>
          <c:orientation val="minMax"/>
        </c:scaling>
        <c:axPos val="b"/>
        <c:delete val="1"/>
        <c:majorTickMark val="in"/>
        <c:minorTickMark val="none"/>
        <c:tickLblPos val="nextTo"/>
        <c:crossAx val="11634162"/>
        <c:crosses val="max"/>
        <c:crossBetween val="midCat"/>
        <c:dispUnits/>
      </c:valAx>
      <c:valAx>
        <c:axId val="11634162"/>
        <c:scaling>
          <c:orientation val="minMax"/>
        </c:scaling>
        <c:axPos val="l"/>
        <c:delete val="1"/>
        <c:majorTickMark val="in"/>
        <c:minorTickMark val="none"/>
        <c:tickLblPos val="nextTo"/>
        <c:crossAx val="26706037"/>
        <c:crosses val="max"/>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Zugkraftdiagramm</a:t>
            </a:r>
          </a:p>
        </c:rich>
      </c:tx>
      <c:layout>
        <c:manualLayout>
          <c:xMode val="factor"/>
          <c:yMode val="factor"/>
          <c:x val="0.03625"/>
          <c:y val="-0.00375"/>
        </c:manualLayout>
      </c:layout>
      <c:spPr>
        <a:noFill/>
        <a:ln>
          <a:noFill/>
        </a:ln>
      </c:spPr>
    </c:title>
    <c:plotArea>
      <c:layout>
        <c:manualLayout>
          <c:xMode val="edge"/>
          <c:yMode val="edge"/>
          <c:x val="0.0185"/>
          <c:y val="0.089"/>
          <c:w val="0.98"/>
          <c:h val="0.902"/>
        </c:manualLayout>
      </c:layout>
      <c:scatterChart>
        <c:scatterStyle val="smooth"/>
        <c:varyColors val="0"/>
        <c:ser>
          <c:idx val="0"/>
          <c:order val="0"/>
          <c:tx>
            <c:v>1.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Zugkraftdiagramm'!$C$98:$M$98</c:f>
              <c:numCache/>
            </c:numRef>
          </c:xVal>
          <c:yVal>
            <c:numRef>
              <c:f>'Getriebe- u. Zugkraftdiagramm'!$C$99:$M$99</c:f>
              <c:numCache/>
            </c:numRef>
          </c:yVal>
          <c:smooth val="1"/>
        </c:ser>
        <c:ser>
          <c:idx val="1"/>
          <c:order val="1"/>
          <c:tx>
            <c:v>2.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Zugkraftdiagramm'!$C$100:$M$100</c:f>
              <c:numCache/>
            </c:numRef>
          </c:xVal>
          <c:yVal>
            <c:numRef>
              <c:f>'Getriebe- u. Zugkraftdiagramm'!$C$101:$M$101</c:f>
              <c:numCache/>
            </c:numRef>
          </c:yVal>
          <c:smooth val="1"/>
        </c:ser>
        <c:ser>
          <c:idx val="2"/>
          <c:order val="2"/>
          <c:tx>
            <c:v>3.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Zugkraftdiagramm'!$C$102:$M$102</c:f>
              <c:numCache/>
            </c:numRef>
          </c:xVal>
          <c:yVal>
            <c:numRef>
              <c:f>'Getriebe- u. Zugkraftdiagramm'!$C$103:$M$103</c:f>
              <c:numCache/>
            </c:numRef>
          </c:yVal>
          <c:smooth val="1"/>
        </c:ser>
        <c:ser>
          <c:idx val="3"/>
          <c:order val="3"/>
          <c:tx>
            <c:v>4.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Zugkraftdiagramm'!$C$104:$M$104</c:f>
              <c:numCache/>
            </c:numRef>
          </c:xVal>
          <c:yVal>
            <c:numRef>
              <c:f>'Getriebe- u. Zugkraftdiagramm'!$C$105:$M$105</c:f>
              <c:numCache/>
            </c:numRef>
          </c:yVal>
          <c:smooth val="1"/>
        </c:ser>
        <c:ser>
          <c:idx val="4"/>
          <c:order val="4"/>
          <c:tx>
            <c:v>5.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Zugkraftdiagramm'!$C$106:$M$106</c:f>
              <c:numCache/>
            </c:numRef>
          </c:xVal>
          <c:yVal>
            <c:numRef>
              <c:f>'Getriebe- u. Zugkraftdiagramm'!$C$107:$M$107</c:f>
              <c:numCache/>
            </c:numRef>
          </c:yVal>
          <c:smooth val="1"/>
        </c:ser>
        <c:ser>
          <c:idx val="5"/>
          <c:order val="5"/>
          <c:tx>
            <c:v>6.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Zugkraftdiagramm'!$C$108:$M$108</c:f>
              <c:numCache/>
            </c:numRef>
          </c:xVal>
          <c:yVal>
            <c:numRef>
              <c:f>'Getriebe- u. Zugkraftdiagramm'!$C$109:$M$109</c:f>
              <c:numCache/>
            </c:numRef>
          </c:yVal>
          <c:smooth val="1"/>
        </c:ser>
        <c:ser>
          <c:idx val="17"/>
          <c:order val="6"/>
          <c:tx>
            <c:v>7. Gang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Zugkraftdiagramm'!$C$110:$M$110</c:f>
              <c:numCache/>
            </c:numRef>
          </c:xVal>
          <c:yVal>
            <c:numRef>
              <c:f>'Getriebe- u. Zugkraftdiagramm'!$C$111:$M$111</c:f>
              <c:numCache/>
            </c:numRef>
          </c:yVal>
          <c:smooth val="1"/>
        </c:ser>
        <c:ser>
          <c:idx val="16"/>
          <c:order val="7"/>
          <c:tx>
            <c:strRef>
              <c:f>'Getriebe- u. Zugkraftdiagramm'!$C$143</c:f>
              <c:strCache>
                <c:ptCount val="1"/>
                <c:pt idx="0">
                  <c:v>9999%</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Zugkraftdiagramm'!$D$133:$L$133</c:f>
              <c:numCache/>
            </c:numRef>
          </c:xVal>
          <c:yVal>
            <c:numRef>
              <c:f>'Getriebe- u. Zugkraftdiagramm'!$D$143:$L$143</c:f>
              <c:numCache/>
            </c:numRef>
          </c:yVal>
          <c:smooth val="1"/>
        </c:ser>
        <c:ser>
          <c:idx val="15"/>
          <c:order val="8"/>
          <c:tx>
            <c:strRef>
              <c:f>'Getriebe- u. Zugkraftdiagramm'!$C$142</c:f>
              <c:strCache>
                <c:ptCount val="1"/>
                <c:pt idx="0">
                  <c:v>190%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'Getriebe- u. Zugkraftdiagramm'!$D$132:$L$132</c:f>
              <c:numCache/>
            </c:numRef>
          </c:xVal>
          <c:yVal>
            <c:numRef>
              <c:f>'Getriebe- u. Zugkraftdiagramm'!$D$142:$L$142</c:f>
              <c:numCache/>
            </c:numRef>
          </c:yVal>
          <c:smooth val="1"/>
        </c:ser>
        <c:ser>
          <c:idx val="14"/>
          <c:order val="9"/>
          <c:tx>
            <c:strRef>
              <c:f>'Getriebe- u. Zugkraftdiagramm'!$C$141</c:f>
              <c:strCache>
                <c:ptCount val="1"/>
                <c:pt idx="0">
                  <c:v>100%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Zugkraftdiagramm'!$D$131:$L$131</c:f>
              <c:numCache/>
            </c:numRef>
          </c:xVal>
          <c:yVal>
            <c:numRef>
              <c:f>'Getriebe- u. Zugkraftdiagramm'!$D$141:$L$141</c:f>
              <c:numCache/>
            </c:numRef>
          </c:yVal>
          <c:smooth val="1"/>
        </c:ser>
        <c:ser>
          <c:idx val="13"/>
          <c:order val="10"/>
          <c:tx>
            <c:strRef>
              <c:f>'Getriebe- u. Zugkraftdiagramm'!$C$140</c:f>
              <c:strCache>
                <c:ptCount val="1"/>
                <c:pt idx="0">
                  <c:v>74%</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72"/>
            <c:spPr>
              <a:noFill/>
              <a:ln>
                <a:noFill/>
              </a:ln>
            </c:spPr>
          </c:marker>
          <c:dLbls>
            <c:numFmt formatCode="General" sourceLinked="1"/>
            <c:showLegendKey val="0"/>
            <c:showVal val="0"/>
            <c:showBubbleSize val="0"/>
            <c:showCatName val="0"/>
            <c:showSerName val="0"/>
            <c:showPercent val="0"/>
          </c:dLbls>
          <c:xVal>
            <c:numRef>
              <c:f>'Getriebe- u. Zugkraftdiagramm'!$D$130:$L$130</c:f>
              <c:numCache/>
            </c:numRef>
          </c:xVal>
          <c:yVal>
            <c:numRef>
              <c:f>'Getriebe- u. Zugkraftdiagramm'!$D$140:$L$140</c:f>
              <c:numCache/>
            </c:numRef>
          </c:yVal>
          <c:smooth val="1"/>
        </c:ser>
        <c:ser>
          <c:idx val="12"/>
          <c:order val="11"/>
          <c:tx>
            <c:strRef>
              <c:f>'Getriebe- u. Zugkraftdiagramm'!$C$139</c:f>
              <c:strCache>
                <c:ptCount val="1"/>
                <c:pt idx="0">
                  <c:v>47%</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Zugkraftdiagramm'!$D$129:$L$129</c:f>
              <c:numCache/>
            </c:numRef>
          </c:xVal>
          <c:yVal>
            <c:numRef>
              <c:f>'Getriebe- u. Zugkraftdiagramm'!$D$139:$L$139</c:f>
              <c:numCache/>
            </c:numRef>
          </c:yVal>
          <c:smooth val="1"/>
        </c:ser>
        <c:ser>
          <c:idx val="11"/>
          <c:order val="12"/>
          <c:tx>
            <c:strRef>
              <c:f>'Getriebe- u. Zugkraftdiagramm'!$C$138</c:f>
              <c:strCache>
                <c:ptCount val="1"/>
                <c:pt idx="0">
                  <c:v>33%</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Zugkraftdiagramm'!$D$128:$L$128</c:f>
              <c:numCache/>
            </c:numRef>
          </c:xVal>
          <c:yVal>
            <c:numRef>
              <c:f>'Getriebe- u. Zugkraftdiagramm'!$D$138:$L$138</c:f>
              <c:numCache/>
            </c:numRef>
          </c:yVal>
          <c:smooth val="1"/>
        </c:ser>
        <c:ser>
          <c:idx val="10"/>
          <c:order val="13"/>
          <c:tx>
            <c:strRef>
              <c:f>'Getriebe- u. Zugkraftdiagramm'!$C$137</c:f>
              <c:strCache>
                <c:ptCount val="1"/>
                <c:pt idx="0">
                  <c:v>5%</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Zugkraftdiagramm'!$D$127:$L$127</c:f>
              <c:numCache/>
            </c:numRef>
          </c:xVal>
          <c:yVal>
            <c:numRef>
              <c:f>'Getriebe- u. Zugkraftdiagramm'!$D$137:$L$137</c:f>
              <c:numCache/>
            </c:numRef>
          </c:yVal>
          <c:smooth val="1"/>
        </c:ser>
        <c:ser>
          <c:idx val="9"/>
          <c:order val="14"/>
          <c:tx>
            <c:strRef>
              <c:f>'Getriebe- u. Zugkraftdiagramm'!$C$136</c:f>
              <c:strCache>
                <c:ptCount val="1"/>
                <c:pt idx="0">
                  <c:v>0%</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'Getriebe- u. Zugkraftdiagramm'!$D$126:$L$126</c:f>
              <c:numCache/>
            </c:numRef>
          </c:xVal>
          <c:yVal>
            <c:numRef>
              <c:f>'Getriebe- u. Zugkraftdiagramm'!$D$136:$L$136</c:f>
              <c:numCache/>
            </c:numRef>
          </c:yVal>
          <c:smooth val="1"/>
        </c:ser>
        <c:ser>
          <c:idx val="8"/>
          <c:order val="15"/>
          <c:tx>
            <c:strRef>
              <c:f>'Getriebe- u. Zugkraftdiagramm'!$C$135</c:f>
              <c:strCache>
                <c:ptCount val="1"/>
                <c:pt idx="0">
                  <c:v>-5%</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Zugkraftdiagramm'!$D$125:$L$125</c:f>
              <c:numCache/>
            </c:numRef>
          </c:xVal>
          <c:yVal>
            <c:numRef>
              <c:f>'Getriebe- u. Zugkraftdiagramm'!$D$135:$L$135</c:f>
              <c:numCache/>
            </c:numRef>
          </c:yVal>
          <c:smooth val="1"/>
        </c:ser>
        <c:ser>
          <c:idx val="7"/>
          <c:order val="16"/>
          <c:tx>
            <c:strRef>
              <c:f>'Getriebe- u. Zugkraftdiagramm'!$C$134</c:f>
              <c:strCache>
                <c:ptCount val="1"/>
                <c:pt idx="0">
                  <c:v>10%</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Zugkraftdiagramm'!$D$124:$L$124</c:f>
              <c:numCache/>
            </c:numRef>
          </c:xVal>
          <c:yVal>
            <c:numRef>
              <c:f>'Getriebe- u. Zugkraftdiagramm'!$D$134:$L$134</c:f>
              <c:numCache/>
            </c:numRef>
          </c:yVal>
          <c:smooth val="1"/>
        </c:ser>
        <c:ser>
          <c:idx val="6"/>
          <c:order val="17"/>
          <c:tx>
            <c:v>Leistungshyperbel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'Getriebe- u. Zugkraftdiagramm'!$B$162:$K$162</c:f>
              <c:numCache/>
            </c:numRef>
          </c:xVal>
          <c:yVal>
            <c:numRef>
              <c:f>'Getriebe- u. Zugkraftdiagramm'!$B$163:$K$163</c:f>
              <c:numCache/>
            </c:numRef>
          </c:yVal>
          <c:smooth val="1"/>
        </c:ser>
        <c:ser>
          <c:idx val="18"/>
          <c:order val="18"/>
          <c:tx>
            <c:strRef>
              <c:f>'Getriebe- u. Zugkraftdiagramm'!$O$25</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Zugkraftdiagramm'!$L$124</c:f>
              <c:numCache/>
            </c:numRef>
          </c:xVal>
          <c:yVal>
            <c:numRef>
              <c:f>'Getriebe- u. Zugkraftdiagramm'!$L$134</c:f>
              <c:numCache/>
            </c:numRef>
          </c:yVal>
          <c:smooth val="1"/>
        </c:ser>
        <c:ser>
          <c:idx val="19"/>
          <c:order val="19"/>
          <c:tx>
            <c:strRef>
              <c:f>'Getriebe- u. Zugkraftdiagramm'!$O$24</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Zugkraftdiagramm'!$L$125</c:f>
              <c:numCache/>
            </c:numRef>
          </c:xVal>
          <c:yVal>
            <c:numRef>
              <c:f>'Getriebe- u. Zugkraftdiagramm'!$L$135</c:f>
              <c:numCache/>
            </c:numRef>
          </c:yVal>
          <c:smooth val="1"/>
        </c:ser>
        <c:ser>
          <c:idx val="20"/>
          <c:order val="20"/>
          <c:tx>
            <c:strRef>
              <c:f>'Getriebe- u. Zugkraftdiagramm'!$O$23</c:f>
              <c:strCache>
                <c:ptCount val="1"/>
                <c:pt idx="0">
                  <c:v>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0"/>
            <c:showBubbleSize val="0"/>
            <c:showCatName val="0"/>
            <c:showSerName val="1"/>
            <c:showPercent val="0"/>
          </c:dLbls>
          <c:xVal>
            <c:numRef>
              <c:f>'Getriebe- u. Zugkraftdiagramm'!$L$126</c:f>
              <c:numCache/>
            </c:numRef>
          </c:xVal>
          <c:yVal>
            <c:numRef>
              <c:f>'Getriebe- u. Zugkraftdiagramm'!$L$136</c:f>
              <c:numCache/>
            </c:numRef>
          </c:yVal>
          <c:smooth val="1"/>
        </c:ser>
        <c:ser>
          <c:idx val="21"/>
          <c:order val="21"/>
          <c:tx>
            <c:strRef>
              <c:f>'Getriebe- u. Zugkraftdiagramm'!$O$22</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Zugkraftdiagramm'!$L$127</c:f>
              <c:numCache/>
            </c:numRef>
          </c:xVal>
          <c:yVal>
            <c:numRef>
              <c:f>'Getriebe- u. Zugkraftdiagramm'!$L$137</c:f>
              <c:numCache/>
            </c:numRef>
          </c:yVal>
          <c:smooth val="1"/>
        </c:ser>
        <c:ser>
          <c:idx val="22"/>
          <c:order val="22"/>
          <c:tx>
            <c:strRef>
              <c:f>'Getriebe- u. Zugkraftdiagramm'!$O$21</c:f>
              <c:strCache>
                <c:ptCount val="1"/>
                <c:pt idx="0">
                  <c:v>33%</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Zugkraftdiagramm'!$L$128</c:f>
              <c:numCache/>
            </c:numRef>
          </c:xVal>
          <c:yVal>
            <c:numRef>
              <c:f>'Getriebe- u. Zugkraftdiagramm'!$L$138</c:f>
              <c:numCache/>
            </c:numRef>
          </c:yVal>
          <c:smooth val="1"/>
        </c:ser>
        <c:ser>
          <c:idx val="23"/>
          <c:order val="23"/>
          <c:tx>
            <c:strRef>
              <c:f>'Getriebe- u. Zugkraftdiagramm'!$O$20</c:f>
              <c:strCache>
                <c:ptCount val="1"/>
                <c:pt idx="0">
                  <c:v>47%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Zugkraftdiagramm'!$L$129</c:f>
              <c:numCache/>
            </c:numRef>
          </c:xVal>
          <c:yVal>
            <c:numRef>
              <c:f>'Getriebe- u. Zugkraftdiagramm'!$L$139</c:f>
              <c:numCache/>
            </c:numRef>
          </c:yVal>
          <c:smooth val="1"/>
        </c:ser>
        <c:ser>
          <c:idx val="24"/>
          <c:order val="24"/>
          <c:tx>
            <c:strRef>
              <c:f>'Getriebe- u. Zugkraftdiagramm'!$O$19</c:f>
              <c:strCache>
                <c:ptCount val="1"/>
                <c:pt idx="0">
                  <c:v>74%</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Zugkraftdiagramm'!$L$130</c:f>
              <c:numCache/>
            </c:numRef>
          </c:xVal>
          <c:yVal>
            <c:numRef>
              <c:f>'Getriebe- u. Zugkraftdiagramm'!$L$140</c:f>
              <c:numCache/>
            </c:numRef>
          </c:yVal>
          <c:smooth val="1"/>
        </c:ser>
        <c:ser>
          <c:idx val="25"/>
          <c:order val="25"/>
          <c:tx>
            <c:strRef>
              <c:f>'Getriebe- u. Zugkraftdiagramm'!$O$18</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Zugkraftdiagramm'!$L$131</c:f>
              <c:numCache/>
            </c:numRef>
          </c:xVal>
          <c:yVal>
            <c:numRef>
              <c:f>'Getriebe- u. Zugkraftdiagramm'!$L$141</c:f>
              <c:numCache/>
            </c:numRef>
          </c:yVal>
          <c:smooth val="1"/>
        </c:ser>
        <c:ser>
          <c:idx val="26"/>
          <c:order val="26"/>
          <c:tx>
            <c:strRef>
              <c:f>'Getriebe- u. Zugkraftdiagramm'!$O$17</c:f>
              <c:strCache>
                <c:ptCount val="1"/>
                <c:pt idx="0">
                  <c:v>190%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Zugkraftdiagramm'!$L$132</c:f>
              <c:numCache/>
            </c:numRef>
          </c:xVal>
          <c:yVal>
            <c:numRef>
              <c:f>'Getriebe- u. Zugkraftdiagramm'!$L$142</c:f>
              <c:numCache/>
            </c:numRef>
          </c:yVal>
          <c:smooth val="1"/>
        </c:ser>
        <c:ser>
          <c:idx val="27"/>
          <c:order val="27"/>
          <c:tx>
            <c:strRef>
              <c:f>'Getriebe- u. Zugkraftdiagramm'!$O$16</c:f>
              <c:strCache>
                <c:ptCount val="1"/>
                <c:pt idx="0">
                  <c:v>9999%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1"/>
            <c:showPercent val="0"/>
          </c:dLbls>
          <c:xVal>
            <c:numRef>
              <c:f>'Getriebe- u. Zugkraftdiagramm'!$L$133</c:f>
              <c:numCache/>
            </c:numRef>
          </c:xVal>
          <c:yVal>
            <c:numRef>
              <c:f>'Getriebe- u. Zugkraftdiagramm'!$L$143</c:f>
              <c:numCache/>
            </c:numRef>
          </c:yVal>
          <c:smooth val="1"/>
        </c:ser>
        <c:axId val="17026379"/>
        <c:axId val="20016336"/>
      </c:scatterChart>
      <c:valAx>
        <c:axId val="17026379"/>
        <c:scaling>
          <c:orientation val="minMax"/>
          <c:max val="200"/>
          <c:min val="0"/>
        </c:scaling>
        <c:axPos val="b"/>
        <c:title>
          <c:tx>
            <c:rich>
              <a:bodyPr vert="horz" rot="0" anchor="ctr"/>
              <a:lstStyle/>
              <a:p>
                <a:pPr algn="just">
                  <a:defRPr/>
                </a:pPr>
                <a:r>
                  <a:rPr lang="en-US" cap="none" sz="1100" b="1" i="0" u="sng" baseline="0">
                    <a:latin typeface="Arial"/>
                    <a:ea typeface="Arial"/>
                    <a:cs typeface="Arial"/>
                  </a:rPr>
                  <a:t>   v   
</a:t>
                </a:r>
                <a:r>
                  <a:rPr lang="en-US" cap="none" sz="1000" b="0" i="0" u="none" baseline="0">
                    <a:latin typeface="Arial"/>
                    <a:ea typeface="Arial"/>
                    <a:cs typeface="Arial"/>
                  </a:rPr>
                  <a:t>km/h</a:t>
                </a:r>
              </a:p>
            </c:rich>
          </c:tx>
          <c:layout>
            <c:manualLayout>
              <c:xMode val="factor"/>
              <c:yMode val="factor"/>
              <c:x val="0.02075"/>
              <c:y val="0.113"/>
            </c:manualLayout>
          </c:layout>
          <c:overlay val="0"/>
          <c:spPr>
            <a:noFill/>
            <a:ln>
              <a:noFill/>
            </a:ln>
          </c:spPr>
        </c:title>
        <c:majorGridlines>
          <c:spPr>
            <a:ln w="25400">
              <a:solidFill/>
            </a:ln>
          </c:spPr>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20016336"/>
        <c:crosses val="autoZero"/>
        <c:crossBetween val="midCat"/>
        <c:dispUnits/>
        <c:majorUnit val="20"/>
        <c:minorUnit val="5"/>
      </c:valAx>
      <c:valAx>
        <c:axId val="20016336"/>
        <c:scaling>
          <c:orientation val="minMax"/>
          <c:max val="3500"/>
          <c:min val="0"/>
        </c:scaling>
        <c:axPos val="l"/>
        <c:title>
          <c:tx>
            <c:rich>
              <a:bodyPr vert="horz" rot="0" anchor="ctr"/>
              <a:lstStyle/>
              <a:p>
                <a:pPr algn="dist">
                  <a:defRPr/>
                </a:pPr>
                <a:r>
                  <a:rPr lang="en-US" cap="none" sz="1200" b="1" i="0" u="sng" baseline="0">
                    <a:latin typeface="Arial"/>
                    <a:ea typeface="Arial"/>
                    <a:cs typeface="Arial"/>
                  </a:rPr>
                  <a:t>F</a:t>
                </a:r>
                <a:r>
                  <a:rPr lang="en-US" cap="none" sz="1200" b="1" i="0" u="none" baseline="0">
                    <a:latin typeface="Arial"/>
                    <a:ea typeface="Arial"/>
                    <a:cs typeface="Arial"/>
                  </a:rPr>
                  <a:t>
</a:t>
                </a:r>
                <a:r>
                  <a:rPr lang="en-US" cap="none" sz="1000" b="0" i="0" u="none" baseline="0">
                    <a:latin typeface="Arial"/>
                    <a:ea typeface="Arial"/>
                    <a:cs typeface="Arial"/>
                  </a:rPr>
                  <a:t>N</a:t>
                </a:r>
              </a:p>
            </c:rich>
          </c:tx>
          <c:layout>
            <c:manualLayout>
              <c:xMode val="factor"/>
              <c:yMode val="factor"/>
              <c:x val="0.009"/>
              <c:y val="0.14175"/>
            </c:manualLayout>
          </c:layout>
          <c:overlay val="0"/>
          <c:spPr>
            <a:noFill/>
            <a:ln>
              <a:noFill/>
            </a:ln>
          </c:spPr>
        </c:title>
        <c:majorGridlines/>
        <c:minorGridlines/>
        <c:delete val="0"/>
        <c:numFmt formatCode="General" sourceLinked="1"/>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17026379"/>
        <c:crossesAt val="0"/>
        <c:crossBetween val="midCat"/>
        <c:dispUnits/>
        <c:majorUnit val="500"/>
        <c:minorUnit val="100"/>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xdr:colOff>
      <xdr:row>7</xdr:row>
      <xdr:rowOff>28575</xdr:rowOff>
    </xdr:from>
    <xdr:ext cx="5257800" cy="4010025"/>
    <xdr:graphicFrame>
      <xdr:nvGraphicFramePr>
        <xdr:cNvPr id="1" name="Chart 42"/>
        <xdr:cNvGraphicFramePr/>
      </xdr:nvGraphicFramePr>
      <xdr:xfrm>
        <a:off x="590550" y="1714500"/>
        <a:ext cx="5257800" cy="4010025"/>
      </xdr:xfrm>
      <a:graphic>
        <a:graphicData uri="http://schemas.openxmlformats.org/drawingml/2006/chart">
          <c:chart xmlns:c="http://schemas.openxmlformats.org/drawingml/2006/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13</xdr:col>
      <xdr:colOff>171450</xdr:colOff>
      <xdr:row>64</xdr:row>
      <xdr:rowOff>133350</xdr:rowOff>
    </xdr:to>
    <xdr:graphicFrame>
      <xdr:nvGraphicFramePr>
        <xdr:cNvPr id="1" name="Chart 6"/>
        <xdr:cNvGraphicFramePr/>
      </xdr:nvGraphicFramePr>
      <xdr:xfrm>
        <a:off x="0" y="7115175"/>
        <a:ext cx="6791325" cy="43243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8</xdr:row>
      <xdr:rowOff>76200</xdr:rowOff>
    </xdr:from>
    <xdr:to>
      <xdr:col>13</xdr:col>
      <xdr:colOff>171450</xdr:colOff>
      <xdr:row>38</xdr:row>
      <xdr:rowOff>95250</xdr:rowOff>
    </xdr:to>
    <xdr:graphicFrame>
      <xdr:nvGraphicFramePr>
        <xdr:cNvPr id="2" name="Chart 4"/>
        <xdr:cNvGraphicFramePr/>
      </xdr:nvGraphicFramePr>
      <xdr:xfrm>
        <a:off x="0" y="1857375"/>
        <a:ext cx="6791325" cy="5334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2"/>
  <sheetViews>
    <sheetView showGridLines="0" showOutlineSymbols="0" workbookViewId="0" topLeftCell="A1">
      <selection activeCell="C1" sqref="C1"/>
    </sheetView>
  </sheetViews>
  <sheetFormatPr defaultColWidth="11.421875" defaultRowHeight="12.75"/>
  <cols>
    <col min="1" max="1" width="9.28125" style="10" customWidth="1"/>
    <col min="2" max="2" width="7.7109375" style="10" customWidth="1"/>
    <col min="3" max="12" width="7.7109375" style="1" customWidth="1"/>
    <col min="13" max="13" width="6.28125" style="1" customWidth="1"/>
    <col min="14" max="24" width="5.00390625" style="1" customWidth="1"/>
    <col min="25" max="26" width="3.57421875" style="1" customWidth="1"/>
    <col min="27" max="16384" width="11.421875" style="1" customWidth="1"/>
  </cols>
  <sheetData>
    <row r="1" spans="1:13" ht="16.5" customHeight="1">
      <c r="A1" s="187" t="s">
        <v>19</v>
      </c>
      <c r="B1" s="188"/>
      <c r="C1" s="5">
        <v>3000</v>
      </c>
      <c r="D1" s="4">
        <v>4000</v>
      </c>
      <c r="E1" s="5">
        <v>4500</v>
      </c>
      <c r="F1" s="5">
        <v>5000</v>
      </c>
      <c r="G1" s="5">
        <v>5500</v>
      </c>
      <c r="H1" s="5">
        <v>6000</v>
      </c>
      <c r="I1" s="5">
        <v>6500</v>
      </c>
      <c r="J1" s="5">
        <v>7000</v>
      </c>
      <c r="K1" s="5">
        <v>7500</v>
      </c>
      <c r="L1" s="5">
        <v>8000</v>
      </c>
      <c r="M1" s="6">
        <v>8500</v>
      </c>
    </row>
    <row r="2" spans="1:14" ht="16.5" customHeight="1">
      <c r="A2" s="189" t="s">
        <v>30</v>
      </c>
      <c r="B2" s="190"/>
      <c r="C2" s="3"/>
      <c r="D2" s="7"/>
      <c r="E2" s="3"/>
      <c r="F2" s="3"/>
      <c r="G2" s="3"/>
      <c r="H2" s="3"/>
      <c r="I2" s="3"/>
      <c r="J2" s="3"/>
      <c r="K2" s="3"/>
      <c r="L2" s="3"/>
      <c r="M2" s="8"/>
      <c r="N2" s="191"/>
    </row>
    <row r="3" spans="1:14" ht="16.5" customHeight="1">
      <c r="A3" s="189" t="s">
        <v>18</v>
      </c>
      <c r="B3" s="190"/>
      <c r="C3" s="142">
        <v>11</v>
      </c>
      <c r="D3" s="142">
        <v>20</v>
      </c>
      <c r="E3" s="142">
        <v>25</v>
      </c>
      <c r="F3" s="142">
        <v>30</v>
      </c>
      <c r="G3" s="142">
        <v>35</v>
      </c>
      <c r="H3" s="142">
        <v>39</v>
      </c>
      <c r="I3" s="142">
        <v>42</v>
      </c>
      <c r="J3" s="142">
        <v>43.5</v>
      </c>
      <c r="K3" s="142">
        <v>43</v>
      </c>
      <c r="L3" s="142">
        <v>40</v>
      </c>
      <c r="M3" s="143">
        <v>34</v>
      </c>
      <c r="N3" s="192"/>
    </row>
    <row r="4" spans="1:14" ht="16.5" customHeight="1">
      <c r="A4" s="189" t="s">
        <v>24</v>
      </c>
      <c r="B4" s="190"/>
      <c r="C4" s="144">
        <f>IF(C1="","",IF(C2="",C3/C1*9550,C2))</f>
        <v>35.016666666666666</v>
      </c>
      <c r="D4" s="144">
        <f aca="true" t="shared" si="0" ref="D4:M4">IF(D1="",C4,IF(D2="",D3/D1*9550,D2))</f>
        <v>47.75</v>
      </c>
      <c r="E4" s="144">
        <f t="shared" si="0"/>
        <v>53.05555555555556</v>
      </c>
      <c r="F4" s="144">
        <f>IF(F1="",E4,IF(F2="",F3/F1*9550,F2))</f>
        <v>57.300000000000004</v>
      </c>
      <c r="G4" s="144">
        <f>IF(G1="",F4,IF(G2="",G3/G1*9550,G2))</f>
        <v>60.77272727272727</v>
      </c>
      <c r="H4" s="144">
        <f t="shared" si="0"/>
        <v>62.074999999999996</v>
      </c>
      <c r="I4" s="144">
        <f t="shared" si="0"/>
        <v>61.707692307692305</v>
      </c>
      <c r="J4" s="144">
        <f t="shared" si="0"/>
        <v>59.34642857142857</v>
      </c>
      <c r="K4" s="144">
        <f t="shared" si="0"/>
        <v>54.75333333333333</v>
      </c>
      <c r="L4" s="144">
        <f t="shared" si="0"/>
        <v>47.75</v>
      </c>
      <c r="M4" s="145">
        <f t="shared" si="0"/>
        <v>38.2</v>
      </c>
      <c r="N4" s="9"/>
    </row>
    <row r="5" spans="1:14" ht="16.5" customHeight="1">
      <c r="A5" s="189" t="s">
        <v>25</v>
      </c>
      <c r="B5" s="190"/>
      <c r="C5" s="144">
        <f>IF(C1="","",IF(C3="",C4*C1/9550,C3))</f>
        <v>11</v>
      </c>
      <c r="D5" s="144">
        <f aca="true" t="shared" si="1" ref="D5:M5">IF(D1="",C5,IF(D3="",D4*D1/9550,D3))</f>
        <v>20</v>
      </c>
      <c r="E5" s="144">
        <f t="shared" si="1"/>
        <v>25</v>
      </c>
      <c r="F5" s="144">
        <f t="shared" si="1"/>
        <v>30</v>
      </c>
      <c r="G5" s="144">
        <f t="shared" si="1"/>
        <v>35</v>
      </c>
      <c r="H5" s="144">
        <f t="shared" si="1"/>
        <v>39</v>
      </c>
      <c r="I5" s="144">
        <f t="shared" si="1"/>
        <v>42</v>
      </c>
      <c r="J5" s="144">
        <f t="shared" si="1"/>
        <v>43.5</v>
      </c>
      <c r="K5" s="144">
        <f t="shared" si="1"/>
        <v>43</v>
      </c>
      <c r="L5" s="144">
        <f t="shared" si="1"/>
        <v>40</v>
      </c>
      <c r="M5" s="145">
        <f t="shared" si="1"/>
        <v>34</v>
      </c>
      <c r="N5" s="9"/>
    </row>
    <row r="6" spans="1:14" ht="16.5" customHeight="1" thickBot="1">
      <c r="A6" s="193" t="s">
        <v>26</v>
      </c>
      <c r="B6" s="194"/>
      <c r="C6" s="146">
        <f aca="true" t="shared" si="2" ref="C6:M6">C5*1.36</f>
        <v>14.96</v>
      </c>
      <c r="D6" s="146">
        <f t="shared" si="2"/>
        <v>27.200000000000003</v>
      </c>
      <c r="E6" s="146">
        <f t="shared" si="2"/>
        <v>34</v>
      </c>
      <c r="F6" s="146">
        <f t="shared" si="2"/>
        <v>40.800000000000004</v>
      </c>
      <c r="G6" s="146">
        <f t="shared" si="2"/>
        <v>47.6</v>
      </c>
      <c r="H6" s="146">
        <f t="shared" si="2"/>
        <v>53.040000000000006</v>
      </c>
      <c r="I6" s="146">
        <f t="shared" si="2"/>
        <v>57.120000000000005</v>
      </c>
      <c r="J6" s="146">
        <f t="shared" si="2"/>
        <v>59.160000000000004</v>
      </c>
      <c r="K6" s="146">
        <f t="shared" si="2"/>
        <v>58.480000000000004</v>
      </c>
      <c r="L6" s="146">
        <f t="shared" si="2"/>
        <v>54.400000000000006</v>
      </c>
      <c r="M6" s="147">
        <f t="shared" si="2"/>
        <v>46.24</v>
      </c>
      <c r="N6" s="9"/>
    </row>
    <row r="7" spans="1:13" ht="33.75" customHeight="1">
      <c r="A7" s="186" t="s">
        <v>82</v>
      </c>
      <c r="B7" s="186"/>
      <c r="C7" s="186"/>
      <c r="D7" s="186"/>
      <c r="E7" s="186"/>
      <c r="F7" s="186"/>
      <c r="G7" s="186"/>
      <c r="H7" s="186"/>
      <c r="I7" s="186"/>
      <c r="J7" s="186"/>
      <c r="K7" s="186"/>
      <c r="L7" s="186"/>
      <c r="M7" s="73"/>
    </row>
    <row r="8" spans="1:13" ht="16.5" customHeight="1">
      <c r="A8" s="33"/>
      <c r="B8" s="33"/>
      <c r="C8" s="64"/>
      <c r="D8" s="65"/>
      <c r="E8" s="65"/>
      <c r="F8" s="65"/>
      <c r="G8" s="65"/>
      <c r="H8" s="65"/>
      <c r="I8" s="65"/>
      <c r="J8" s="65"/>
      <c r="K8" s="65"/>
      <c r="L8" s="65"/>
      <c r="M8" s="65"/>
    </row>
    <row r="9" spans="1:26" ht="16.5" customHeight="1">
      <c r="A9" s="33"/>
      <c r="B9" s="33"/>
      <c r="C9" s="64"/>
      <c r="D9" s="65"/>
      <c r="E9" s="65"/>
      <c r="F9" s="65"/>
      <c r="G9" s="65"/>
      <c r="H9" s="65"/>
      <c r="I9" s="65"/>
      <c r="J9" s="65"/>
      <c r="K9" s="65"/>
      <c r="L9" s="65"/>
      <c r="M9" s="65"/>
      <c r="Y9" s="167"/>
      <c r="Z9" s="167"/>
    </row>
    <row r="10" spans="1:26" ht="16.5" customHeight="1">
      <c r="A10" s="33"/>
      <c r="B10" s="33"/>
      <c r="C10" s="64"/>
      <c r="D10" s="65"/>
      <c r="E10" s="65"/>
      <c r="F10" s="65"/>
      <c r="G10" s="65"/>
      <c r="H10" s="65"/>
      <c r="I10" s="65"/>
      <c r="J10" s="65"/>
      <c r="K10" s="65"/>
      <c r="L10" s="65"/>
      <c r="M10" s="65"/>
      <c r="N10" s="168"/>
      <c r="O10" s="168"/>
      <c r="P10" s="168"/>
      <c r="Q10" s="168"/>
      <c r="R10" s="168"/>
      <c r="S10" s="168"/>
      <c r="T10" s="168"/>
      <c r="U10" s="168"/>
      <c r="V10" s="168"/>
      <c r="W10" s="168"/>
      <c r="X10" s="168"/>
      <c r="Y10" s="168"/>
      <c r="Z10" s="168"/>
    </row>
    <row r="11" spans="1:24" ht="16.5" customHeight="1">
      <c r="A11" s="33"/>
      <c r="B11" s="33"/>
      <c r="C11" s="64"/>
      <c r="D11" s="65"/>
      <c r="E11" s="65"/>
      <c r="F11" s="65"/>
      <c r="G11" s="65"/>
      <c r="H11" s="65"/>
      <c r="I11" s="65"/>
      <c r="J11" s="65"/>
      <c r="K11" s="65"/>
      <c r="L11" s="65"/>
      <c r="M11" s="65"/>
      <c r="N11" s="167"/>
      <c r="O11" s="167"/>
      <c r="P11" s="167"/>
      <c r="Q11" s="167"/>
      <c r="R11" s="167"/>
      <c r="S11" s="167"/>
      <c r="T11" s="167"/>
      <c r="U11" s="167"/>
      <c r="V11" s="167"/>
      <c r="W11" s="167"/>
      <c r="X11" s="167"/>
    </row>
    <row r="12" spans="1:13" ht="16.5" customHeight="1">
      <c r="A12" s="33"/>
      <c r="B12" s="33"/>
      <c r="C12" s="64"/>
      <c r="D12" s="65"/>
      <c r="E12" s="65"/>
      <c r="F12" s="65"/>
      <c r="G12" s="65"/>
      <c r="H12" s="65"/>
      <c r="I12" s="65"/>
      <c r="J12" s="65"/>
      <c r="K12" s="65"/>
      <c r="L12" s="65"/>
      <c r="M12" s="65"/>
    </row>
    <row r="13" spans="1:13" ht="16.5" customHeight="1">
      <c r="A13" s="33"/>
      <c r="B13" s="33"/>
      <c r="C13" s="64"/>
      <c r="D13" s="65"/>
      <c r="E13" s="65"/>
      <c r="F13" s="65"/>
      <c r="G13" s="65"/>
      <c r="H13" s="65"/>
      <c r="I13" s="65"/>
      <c r="J13" s="65"/>
      <c r="K13" s="65"/>
      <c r="L13" s="65"/>
      <c r="M13" s="65"/>
    </row>
    <row r="14" spans="1:13" ht="16.5" customHeight="1">
      <c r="A14" s="33"/>
      <c r="B14" s="33"/>
      <c r="C14" s="64"/>
      <c r="D14" s="65"/>
      <c r="E14" s="65"/>
      <c r="F14" s="65"/>
      <c r="G14" s="65"/>
      <c r="H14" s="65"/>
      <c r="I14" s="65"/>
      <c r="J14" s="65"/>
      <c r="K14" s="65"/>
      <c r="L14" s="65"/>
      <c r="M14" s="65"/>
    </row>
    <row r="15" spans="1:13" ht="16.5" customHeight="1">
      <c r="A15" s="33"/>
      <c r="B15" s="33"/>
      <c r="C15" s="64"/>
      <c r="D15" s="65"/>
      <c r="E15" s="65"/>
      <c r="F15" s="65"/>
      <c r="G15" s="65"/>
      <c r="H15" s="65"/>
      <c r="I15" s="65"/>
      <c r="J15" s="65"/>
      <c r="K15" s="65"/>
      <c r="L15" s="65"/>
      <c r="M15" s="65"/>
    </row>
    <row r="16" spans="1:13" ht="16.5" customHeight="1">
      <c r="A16" s="33"/>
      <c r="B16" s="33"/>
      <c r="C16" s="64"/>
      <c r="D16" s="65"/>
      <c r="E16" s="65"/>
      <c r="F16" s="65"/>
      <c r="G16" s="65"/>
      <c r="H16" s="65"/>
      <c r="I16" s="65"/>
      <c r="J16" s="65"/>
      <c r="K16" s="65"/>
      <c r="L16" s="65"/>
      <c r="M16" s="65"/>
    </row>
    <row r="17" spans="1:13" ht="16.5" customHeight="1">
      <c r="A17" s="33"/>
      <c r="B17" s="33"/>
      <c r="C17" s="64"/>
      <c r="D17" s="65"/>
      <c r="E17" s="65"/>
      <c r="F17" s="65"/>
      <c r="G17" s="65"/>
      <c r="H17" s="65"/>
      <c r="I17" s="65"/>
      <c r="J17" s="65"/>
      <c r="K17" s="65"/>
      <c r="L17" s="65"/>
      <c r="M17" s="65"/>
    </row>
    <row r="18" spans="1:13" ht="16.5" customHeight="1">
      <c r="A18" s="33"/>
      <c r="B18" s="33"/>
      <c r="C18" s="64"/>
      <c r="D18" s="65"/>
      <c r="E18" s="65"/>
      <c r="F18" s="65"/>
      <c r="G18" s="65"/>
      <c r="H18" s="65"/>
      <c r="I18" s="65"/>
      <c r="J18" s="65"/>
      <c r="K18" s="65"/>
      <c r="L18" s="65"/>
      <c r="M18" s="65"/>
    </row>
    <row r="19" spans="1:13" ht="16.5" customHeight="1">
      <c r="A19" s="33"/>
      <c r="B19" s="33"/>
      <c r="C19" s="64"/>
      <c r="D19" s="65"/>
      <c r="E19" s="65"/>
      <c r="F19" s="65"/>
      <c r="G19" s="65"/>
      <c r="H19" s="65"/>
      <c r="I19" s="65"/>
      <c r="J19" s="65"/>
      <c r="K19" s="65"/>
      <c r="L19" s="65"/>
      <c r="M19" s="65"/>
    </row>
    <row r="20" spans="1:13" ht="16.5" customHeight="1">
      <c r="A20" s="33"/>
      <c r="B20" s="33"/>
      <c r="C20" s="64"/>
      <c r="D20" s="65"/>
      <c r="E20" s="65"/>
      <c r="F20" s="65"/>
      <c r="G20" s="65"/>
      <c r="H20" s="65"/>
      <c r="I20" s="65"/>
      <c r="J20" s="65"/>
      <c r="K20" s="65"/>
      <c r="L20" s="65"/>
      <c r="M20" s="65"/>
    </row>
    <row r="21" spans="1:13" ht="16.5" customHeight="1">
      <c r="A21" s="33"/>
      <c r="B21" s="33"/>
      <c r="C21" s="64"/>
      <c r="D21" s="65"/>
      <c r="E21" s="65"/>
      <c r="F21" s="65"/>
      <c r="G21" s="65"/>
      <c r="H21" s="65"/>
      <c r="I21" s="65"/>
      <c r="J21" s="65"/>
      <c r="K21" s="65"/>
      <c r="L21" s="65"/>
      <c r="M21" s="65"/>
    </row>
    <row r="22" spans="1:13" ht="16.5" customHeight="1">
      <c r="A22" s="33"/>
      <c r="B22" s="33"/>
      <c r="C22" s="64"/>
      <c r="D22" s="65"/>
      <c r="E22" s="65"/>
      <c r="F22" s="65"/>
      <c r="G22" s="65"/>
      <c r="H22" s="65"/>
      <c r="I22" s="65"/>
      <c r="J22" s="65"/>
      <c r="K22" s="65"/>
      <c r="L22" s="65"/>
      <c r="M22" s="65"/>
    </row>
    <row r="23" spans="1:13" ht="16.5" customHeight="1">
      <c r="A23" s="33"/>
      <c r="B23" s="33"/>
      <c r="C23" s="64"/>
      <c r="D23" s="65"/>
      <c r="E23" s="65"/>
      <c r="F23" s="65"/>
      <c r="G23" s="65"/>
      <c r="H23" s="65"/>
      <c r="I23" s="65"/>
      <c r="J23" s="65"/>
      <c r="K23" s="65"/>
      <c r="L23" s="65"/>
      <c r="M23" s="65"/>
    </row>
    <row r="24" spans="1:13" ht="16.5" customHeight="1">
      <c r="A24" s="33"/>
      <c r="B24" s="33"/>
      <c r="C24" s="64"/>
      <c r="D24" s="65"/>
      <c r="E24" s="65"/>
      <c r="F24" s="65"/>
      <c r="G24" s="65"/>
      <c r="H24" s="65"/>
      <c r="I24" s="65"/>
      <c r="J24" s="65"/>
      <c r="K24" s="65"/>
      <c r="L24" s="65"/>
      <c r="M24" s="65"/>
    </row>
    <row r="25" spans="1:13" ht="16.5" customHeight="1">
      <c r="A25" s="33"/>
      <c r="B25" s="33"/>
      <c r="C25" s="64"/>
      <c r="D25" s="65"/>
      <c r="E25" s="65"/>
      <c r="F25" s="65"/>
      <c r="G25" s="65"/>
      <c r="H25" s="65"/>
      <c r="I25" s="65"/>
      <c r="J25" s="65"/>
      <c r="K25" s="65"/>
      <c r="L25" s="65"/>
      <c r="M25" s="65"/>
    </row>
    <row r="26" spans="1:13" ht="16.5" customHeight="1">
      <c r="A26" s="33"/>
      <c r="B26" s="33"/>
      <c r="C26" s="64"/>
      <c r="D26" s="65"/>
      <c r="E26" s="65"/>
      <c r="F26" s="65"/>
      <c r="G26" s="65"/>
      <c r="H26" s="65"/>
      <c r="I26" s="65"/>
      <c r="J26" s="65"/>
      <c r="K26" s="65"/>
      <c r="L26" s="65"/>
      <c r="M26" s="65"/>
    </row>
    <row r="27" spans="1:13" ht="16.5" customHeight="1" thickBot="1">
      <c r="A27" s="33"/>
      <c r="B27" s="33"/>
      <c r="C27" s="64"/>
      <c r="D27" s="65"/>
      <c r="E27" s="65"/>
      <c r="F27" s="65"/>
      <c r="G27" s="65"/>
      <c r="H27" s="65"/>
      <c r="I27" s="65"/>
      <c r="J27" s="65"/>
      <c r="K27" s="65"/>
      <c r="L27" s="65"/>
      <c r="M27" s="65"/>
    </row>
    <row r="28" spans="1:13" ht="16.5" customHeight="1" thickBot="1">
      <c r="A28" s="40" t="str">
        <f>A1</f>
        <v>n/min-1</v>
      </c>
      <c r="B28" s="38">
        <f aca="true" t="shared" si="3" ref="B28:L28">IF(C1="","",C1)</f>
        <v>3000</v>
      </c>
      <c r="C28" s="36">
        <f t="shared" si="3"/>
        <v>4000</v>
      </c>
      <c r="D28" s="36">
        <f t="shared" si="3"/>
        <v>4500</v>
      </c>
      <c r="E28" s="36">
        <f t="shared" si="3"/>
        <v>5000</v>
      </c>
      <c r="F28" s="36">
        <f t="shared" si="3"/>
        <v>5500</v>
      </c>
      <c r="G28" s="36">
        <f t="shared" si="3"/>
        <v>6000</v>
      </c>
      <c r="H28" s="36">
        <f t="shared" si="3"/>
        <v>6500</v>
      </c>
      <c r="I28" s="36">
        <f t="shared" si="3"/>
        <v>7000</v>
      </c>
      <c r="J28" s="36">
        <f t="shared" si="3"/>
        <v>7500</v>
      </c>
      <c r="K28" s="36">
        <f t="shared" si="3"/>
        <v>8000</v>
      </c>
      <c r="L28" s="37">
        <f t="shared" si="3"/>
        <v>8500</v>
      </c>
      <c r="M28" s="65"/>
    </row>
    <row r="29" spans="1:13" ht="16.5" customHeight="1">
      <c r="A29" s="39" t="s">
        <v>37</v>
      </c>
      <c r="B29" s="148">
        <f aca="true" t="shared" si="4" ref="B29:L31">IF(B28="","",C4)</f>
        <v>35.016666666666666</v>
      </c>
      <c r="C29" s="149">
        <f t="shared" si="4"/>
        <v>47.75</v>
      </c>
      <c r="D29" s="149">
        <f t="shared" si="4"/>
        <v>53.05555555555556</v>
      </c>
      <c r="E29" s="149">
        <f t="shared" si="4"/>
        <v>57.300000000000004</v>
      </c>
      <c r="F29" s="149">
        <f t="shared" si="4"/>
        <v>60.77272727272727</v>
      </c>
      <c r="G29" s="149">
        <f t="shared" si="4"/>
        <v>62.074999999999996</v>
      </c>
      <c r="H29" s="149">
        <f t="shared" si="4"/>
        <v>61.707692307692305</v>
      </c>
      <c r="I29" s="149">
        <f t="shared" si="4"/>
        <v>59.34642857142857</v>
      </c>
      <c r="J29" s="149">
        <f t="shared" si="4"/>
        <v>54.75333333333333</v>
      </c>
      <c r="K29" s="149">
        <f t="shared" si="4"/>
        <v>47.75</v>
      </c>
      <c r="L29" s="150">
        <f t="shared" si="4"/>
        <v>38.2</v>
      </c>
      <c r="M29" s="65"/>
    </row>
    <row r="30" spans="1:13" ht="16.5" customHeight="1">
      <c r="A30" s="34" t="s">
        <v>18</v>
      </c>
      <c r="B30" s="151">
        <f t="shared" si="4"/>
        <v>11</v>
      </c>
      <c r="C30" s="152">
        <f t="shared" si="4"/>
        <v>20</v>
      </c>
      <c r="D30" s="152">
        <f t="shared" si="4"/>
        <v>25</v>
      </c>
      <c r="E30" s="152">
        <f t="shared" si="4"/>
        <v>30</v>
      </c>
      <c r="F30" s="152">
        <f t="shared" si="4"/>
        <v>35</v>
      </c>
      <c r="G30" s="152">
        <f t="shared" si="4"/>
        <v>39</v>
      </c>
      <c r="H30" s="152">
        <f t="shared" si="4"/>
        <v>42</v>
      </c>
      <c r="I30" s="152">
        <f t="shared" si="4"/>
        <v>43.5</v>
      </c>
      <c r="J30" s="152">
        <f t="shared" si="4"/>
        <v>43</v>
      </c>
      <c r="K30" s="152">
        <f t="shared" si="4"/>
        <v>40</v>
      </c>
      <c r="L30" s="153">
        <f t="shared" si="4"/>
        <v>34</v>
      </c>
      <c r="M30" s="65"/>
    </row>
    <row r="31" spans="1:13" ht="16.5" customHeight="1" thickBot="1">
      <c r="A31" s="35" t="s">
        <v>36</v>
      </c>
      <c r="B31" s="154">
        <f t="shared" si="4"/>
        <v>14.96</v>
      </c>
      <c r="C31" s="155">
        <f t="shared" si="4"/>
        <v>27.200000000000003</v>
      </c>
      <c r="D31" s="155">
        <f t="shared" si="4"/>
        <v>34</v>
      </c>
      <c r="E31" s="155">
        <f t="shared" si="4"/>
        <v>40.800000000000004</v>
      </c>
      <c r="F31" s="155">
        <f t="shared" si="4"/>
        <v>47.6</v>
      </c>
      <c r="G31" s="155">
        <f t="shared" si="4"/>
        <v>53.040000000000006</v>
      </c>
      <c r="H31" s="155">
        <f t="shared" si="4"/>
        <v>57.120000000000005</v>
      </c>
      <c r="I31" s="155">
        <f t="shared" si="4"/>
        <v>59.160000000000004</v>
      </c>
      <c r="J31" s="155">
        <f t="shared" si="4"/>
        <v>58.480000000000004</v>
      </c>
      <c r="K31" s="155">
        <f t="shared" si="4"/>
        <v>54.400000000000006</v>
      </c>
      <c r="L31" s="156">
        <f t="shared" si="4"/>
        <v>46.24</v>
      </c>
      <c r="M31" s="65"/>
    </row>
    <row r="32" spans="1:13" ht="16.5" customHeight="1">
      <c r="A32" s="33"/>
      <c r="B32" s="33"/>
      <c r="C32" s="64"/>
      <c r="D32" s="65"/>
      <c r="E32" s="65"/>
      <c r="F32" s="65"/>
      <c r="G32" s="65"/>
      <c r="H32" s="65"/>
      <c r="I32" s="65"/>
      <c r="J32" s="65"/>
      <c r="K32" s="65"/>
      <c r="L32" s="65"/>
      <c r="M32" s="65"/>
    </row>
  </sheetData>
  <mergeCells count="8">
    <mergeCell ref="N2:N3"/>
    <mergeCell ref="A4:B4"/>
    <mergeCell ref="A5:B5"/>
    <mergeCell ref="A6:B6"/>
    <mergeCell ref="A7:L7"/>
    <mergeCell ref="A1:B1"/>
    <mergeCell ref="A2:B2"/>
    <mergeCell ref="A3:B3"/>
  </mergeCells>
  <printOptions/>
  <pageMargins left="0.75" right="0.62" top="1" bottom="1" header="0.4921259845" footer="0.4921259845"/>
  <pageSetup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164"/>
  <sheetViews>
    <sheetView showGridLines="0" tabSelected="1" showOutlineSymbols="0" zoomScaleSheetLayoutView="100" workbookViewId="0" topLeftCell="A10">
      <selection activeCell="P11" sqref="P11"/>
    </sheetView>
  </sheetViews>
  <sheetFormatPr defaultColWidth="11.421875" defaultRowHeight="12.75"/>
  <cols>
    <col min="1" max="1" width="10.00390625" style="32" customWidth="1"/>
    <col min="2" max="3" width="7.28125" style="32" customWidth="1"/>
    <col min="4" max="4" width="8.28125" style="32" customWidth="1"/>
    <col min="5" max="12" width="7.28125" style="32" customWidth="1"/>
    <col min="13" max="13" width="8.140625" style="32" customWidth="1"/>
    <col min="14" max="14" width="7.00390625" style="32" customWidth="1"/>
    <col min="15" max="15" width="5.7109375" style="32" customWidth="1"/>
    <col min="16" max="16" width="6.00390625" style="32" customWidth="1"/>
    <col min="17" max="17" width="5.421875" style="32" customWidth="1"/>
    <col min="18" max="18" width="10.00390625" style="32" customWidth="1"/>
    <col min="19" max="19" width="5.140625" style="32" customWidth="1"/>
    <col min="20" max="20" width="10.28125" style="32" customWidth="1"/>
    <col min="21" max="24" width="5.140625" style="32" customWidth="1"/>
    <col min="25" max="16384" width="11.421875" style="32" customWidth="1"/>
  </cols>
  <sheetData>
    <row r="1" spans="1:14" ht="35.25" customHeight="1" thickBot="1">
      <c r="A1" s="216" t="str">
        <f>'Leistung u. Drehmoment'!A7</f>
        <v>KTM LC4 640, Bj 2001
Akrapovich Titan, Mikuni TM 42, Kanäle geglättet</v>
      </c>
      <c r="B1" s="216"/>
      <c r="C1" s="216"/>
      <c r="D1" s="216"/>
      <c r="E1" s="216"/>
      <c r="F1" s="216"/>
      <c r="G1" s="216"/>
      <c r="H1" s="216"/>
      <c r="I1" s="216"/>
      <c r="J1" s="216"/>
      <c r="K1" s="216"/>
      <c r="L1" s="216"/>
      <c r="M1" s="216"/>
      <c r="N1" s="216"/>
    </row>
    <row r="2" spans="1:14" ht="15.75" customHeight="1">
      <c r="A2" s="231" t="s">
        <v>45</v>
      </c>
      <c r="B2" s="232"/>
      <c r="C2" s="232"/>
      <c r="D2" s="232"/>
      <c r="E2" s="232"/>
      <c r="F2" s="232"/>
      <c r="G2" s="232"/>
      <c r="H2" s="233"/>
      <c r="I2" s="223" t="s">
        <v>46</v>
      </c>
      <c r="J2" s="224"/>
      <c r="K2" s="224"/>
      <c r="L2" s="224"/>
      <c r="M2" s="224"/>
      <c r="N2" s="225"/>
    </row>
    <row r="3" spans="1:14" ht="26.25" customHeight="1">
      <c r="A3" s="67" t="s">
        <v>44</v>
      </c>
      <c r="B3" s="129" t="s">
        <v>72</v>
      </c>
      <c r="C3" s="68" t="s">
        <v>43</v>
      </c>
      <c r="D3" s="228" t="s">
        <v>71</v>
      </c>
      <c r="E3" s="229"/>
      <c r="F3" s="68" t="s">
        <v>42</v>
      </c>
      <c r="G3" s="228" t="s">
        <v>41</v>
      </c>
      <c r="H3" s="234"/>
      <c r="I3" s="67" t="s">
        <v>47</v>
      </c>
      <c r="J3" s="68" t="s">
        <v>48</v>
      </c>
      <c r="K3" s="68" t="s">
        <v>49</v>
      </c>
      <c r="L3" s="226" t="s">
        <v>50</v>
      </c>
      <c r="M3" s="227"/>
      <c r="N3" s="71" t="s">
        <v>23</v>
      </c>
    </row>
    <row r="4" spans="1:14" ht="13.5" customHeight="1" thickBot="1">
      <c r="A4" s="69">
        <v>160</v>
      </c>
      <c r="B4" s="271">
        <v>60</v>
      </c>
      <c r="C4" s="63">
        <v>17</v>
      </c>
      <c r="D4" s="272" t="s">
        <v>70</v>
      </c>
      <c r="E4" s="230"/>
      <c r="F4" s="66">
        <f>IF(D4="M",(C4*25.4+2*B4/100*A4)*PI()*0.961/1000,(C4*25.4+2*B4/100*A4)*PI()*0.97129/1000)</f>
        <v>1.8832962029142495</v>
      </c>
      <c r="G4" s="239">
        <v>0.011</v>
      </c>
      <c r="H4" s="240"/>
      <c r="I4" s="74">
        <v>225</v>
      </c>
      <c r="J4" s="70">
        <v>0.8</v>
      </c>
      <c r="K4" s="70">
        <v>1.7</v>
      </c>
      <c r="L4" s="183">
        <f>ROUND(J4*K4*0.83,2)</f>
        <v>1.13</v>
      </c>
      <c r="M4" s="183"/>
      <c r="N4" s="53">
        <v>0.45</v>
      </c>
    </row>
    <row r="5" ht="6" customHeight="1" thickBot="1">
      <c r="N5" s="72"/>
    </row>
    <row r="6" spans="1:14" ht="14.25" customHeight="1">
      <c r="A6" s="235" t="s">
        <v>21</v>
      </c>
      <c r="B6" s="236"/>
      <c r="C6" s="180" t="s">
        <v>66</v>
      </c>
      <c r="D6" s="180" t="s">
        <v>67</v>
      </c>
      <c r="E6" s="41" t="s">
        <v>65</v>
      </c>
      <c r="F6" s="41" t="s">
        <v>8</v>
      </c>
      <c r="G6" s="41" t="s">
        <v>9</v>
      </c>
      <c r="H6" s="41" t="s">
        <v>5</v>
      </c>
      <c r="I6" s="41" t="s">
        <v>6</v>
      </c>
      <c r="J6" s="41" t="s">
        <v>7</v>
      </c>
      <c r="K6" s="41" t="s">
        <v>10</v>
      </c>
      <c r="L6" s="42" t="s">
        <v>32</v>
      </c>
      <c r="M6" s="217" t="s">
        <v>53</v>
      </c>
      <c r="N6" s="218"/>
    </row>
    <row r="7" spans="1:14" ht="15.75" customHeight="1">
      <c r="A7" s="237"/>
      <c r="B7" s="238"/>
      <c r="C7" s="119">
        <v>17</v>
      </c>
      <c r="D7" s="119">
        <v>42</v>
      </c>
      <c r="E7" s="270">
        <f>81/30</f>
        <v>2.7</v>
      </c>
      <c r="F7" s="270">
        <f>35/14</f>
        <v>2.5</v>
      </c>
      <c r="G7" s="270">
        <f>24/15</f>
        <v>1.6</v>
      </c>
      <c r="H7" s="270">
        <f>21/18</f>
        <v>1.1666666666666667</v>
      </c>
      <c r="I7" s="270">
        <f>19/20</f>
        <v>0.95</v>
      </c>
      <c r="J7" s="270">
        <v>0.8181818181818182</v>
      </c>
      <c r="K7" s="2"/>
      <c r="L7" s="179"/>
      <c r="M7" s="219"/>
      <c r="N7" s="220"/>
    </row>
    <row r="8" spans="1:14" ht="13.5" thickBot="1">
      <c r="A8" s="193" t="s">
        <v>22</v>
      </c>
      <c r="B8" s="194"/>
      <c r="C8" s="241">
        <v>0.95</v>
      </c>
      <c r="D8" s="242"/>
      <c r="E8" s="52">
        <v>1</v>
      </c>
      <c r="F8" s="52">
        <v>0.97</v>
      </c>
      <c r="G8" s="52">
        <v>0.97</v>
      </c>
      <c r="H8" s="52">
        <v>0.97</v>
      </c>
      <c r="I8" s="52">
        <v>0.97</v>
      </c>
      <c r="J8" s="52">
        <v>0.97</v>
      </c>
      <c r="K8" s="52"/>
      <c r="L8" s="53"/>
      <c r="M8" s="221">
        <v>8500</v>
      </c>
      <c r="N8" s="222"/>
    </row>
    <row r="9" ht="12.75"/>
    <row r="10" spans="6:14" ht="12.75" customHeight="1">
      <c r="F10" s="62"/>
      <c r="G10" s="62"/>
      <c r="H10" s="62"/>
      <c r="I10" s="62"/>
      <c r="J10" s="62"/>
      <c r="K10" s="62"/>
      <c r="L10" s="62"/>
      <c r="M10" s="62"/>
      <c r="N10" s="62"/>
    </row>
    <row r="11" spans="14:16" ht="12.75" customHeight="1">
      <c r="N11" s="140"/>
      <c r="O11" s="2">
        <v>1.15</v>
      </c>
      <c r="P11" s="2">
        <v>1.02</v>
      </c>
    </row>
    <row r="12" spans="14:41" ht="12.75" customHeight="1">
      <c r="N12" s="140"/>
      <c r="P12" s="75">
        <v>1.04</v>
      </c>
      <c r="V12" s="72"/>
      <c r="W12" s="72"/>
      <c r="X12" s="72"/>
      <c r="Y12" s="72"/>
      <c r="Z12" s="72"/>
      <c r="AA12" s="72"/>
      <c r="AB12" s="72"/>
      <c r="AC12" s="72"/>
      <c r="AD12" s="72"/>
      <c r="AE12" s="72"/>
      <c r="AF12" s="72"/>
      <c r="AG12" s="72"/>
      <c r="AH12" s="72"/>
      <c r="AI12" s="72"/>
      <c r="AJ12" s="72"/>
      <c r="AK12" s="72"/>
      <c r="AL12" s="72"/>
      <c r="AM12" s="72"/>
      <c r="AN12" s="72"/>
      <c r="AO12" s="72"/>
    </row>
    <row r="13" spans="14:41" ht="13.5" customHeight="1" thickBot="1">
      <c r="N13" s="140"/>
      <c r="U13" s="138"/>
      <c r="V13" s="138"/>
      <c r="W13" s="138"/>
      <c r="X13" s="138"/>
      <c r="Y13" s="138"/>
      <c r="Z13" s="138"/>
      <c r="AA13" s="138"/>
      <c r="AB13" s="138"/>
      <c r="AC13" s="138"/>
      <c r="AD13" s="138"/>
      <c r="AE13" s="138"/>
      <c r="AF13" s="72"/>
      <c r="AG13" s="72"/>
      <c r="AH13" s="72"/>
      <c r="AI13" s="72"/>
      <c r="AJ13" s="72"/>
      <c r="AK13" s="72"/>
      <c r="AL13" s="72"/>
      <c r="AM13" s="72"/>
      <c r="AN13" s="72"/>
      <c r="AO13" s="72"/>
    </row>
    <row r="14" spans="14:41" ht="42" customHeight="1">
      <c r="N14" s="140"/>
      <c r="O14" s="201" t="s">
        <v>73</v>
      </c>
      <c r="P14" s="202"/>
      <c r="U14" s="139"/>
      <c r="V14" s="72"/>
      <c r="W14" s="72"/>
      <c r="X14" s="72"/>
      <c r="Y14" s="72"/>
      <c r="Z14" s="72"/>
      <c r="AA14" s="72"/>
      <c r="AB14" s="72"/>
      <c r="AC14" s="72"/>
      <c r="AD14" s="72"/>
      <c r="AE14" s="72"/>
      <c r="AF14" s="72"/>
      <c r="AG14" s="72"/>
      <c r="AH14" s="72"/>
      <c r="AI14" s="72"/>
      <c r="AJ14" s="72"/>
      <c r="AK14" s="72"/>
      <c r="AL14" s="72"/>
      <c r="AM14" s="72"/>
      <c r="AN14" s="72"/>
      <c r="AO14" s="72"/>
    </row>
    <row r="15" spans="14:16" ht="12.75" customHeight="1">
      <c r="N15" s="140"/>
      <c r="O15" s="203" t="s">
        <v>38</v>
      </c>
      <c r="P15" s="204"/>
    </row>
    <row r="16" spans="14:16" ht="12.75" customHeight="1">
      <c r="N16" s="140"/>
      <c r="O16" s="195">
        <v>99.99</v>
      </c>
      <c r="P16" s="196"/>
    </row>
    <row r="17" spans="14:16" ht="12.75" customHeight="1">
      <c r="N17" s="140"/>
      <c r="O17" s="195">
        <v>1.9</v>
      </c>
      <c r="P17" s="196"/>
    </row>
    <row r="18" spans="14:16" ht="12.75" customHeight="1">
      <c r="N18" s="141"/>
      <c r="O18" s="195">
        <v>1</v>
      </c>
      <c r="P18" s="196"/>
    </row>
    <row r="19" spans="14:16" ht="12.75" customHeight="1">
      <c r="N19" s="140"/>
      <c r="O19" s="195">
        <v>0.74</v>
      </c>
      <c r="P19" s="196"/>
    </row>
    <row r="20" spans="14:16" ht="12.75" customHeight="1">
      <c r="N20" s="140"/>
      <c r="O20" s="195">
        <v>0.47</v>
      </c>
      <c r="P20" s="196"/>
    </row>
    <row r="21" spans="15:16" ht="12.75" customHeight="1">
      <c r="O21" s="195">
        <v>0.33</v>
      </c>
      <c r="P21" s="196"/>
    </row>
    <row r="22" spans="15:16" ht="12.75" customHeight="1">
      <c r="O22" s="195">
        <v>0.05</v>
      </c>
      <c r="P22" s="196"/>
    </row>
    <row r="23" spans="15:16" ht="12.75" customHeight="1">
      <c r="O23" s="197">
        <v>0</v>
      </c>
      <c r="P23" s="198"/>
    </row>
    <row r="24" spans="15:16" ht="12.75" customHeight="1">
      <c r="O24" s="195">
        <v>-0.05</v>
      </c>
      <c r="P24" s="196"/>
    </row>
    <row r="25" spans="15:16" ht="13.5" thickBot="1">
      <c r="O25" s="199">
        <v>0.1</v>
      </c>
      <c r="P25" s="200"/>
    </row>
    <row r="26" ht="13.5" thickBot="1"/>
    <row r="27" spans="15:16" ht="16.5" thickBot="1">
      <c r="O27" s="136" t="s">
        <v>69</v>
      </c>
      <c r="P27" s="137" t="s">
        <v>56</v>
      </c>
    </row>
    <row r="28" spans="15:16" ht="12.75">
      <c r="O28" s="134" t="s">
        <v>8</v>
      </c>
      <c r="P28" s="135"/>
    </row>
    <row r="29" spans="15:16" ht="12.75">
      <c r="O29" s="132" t="s">
        <v>9</v>
      </c>
      <c r="P29" s="130">
        <v>86</v>
      </c>
    </row>
    <row r="30" spans="15:16" ht="12.75">
      <c r="O30" s="132" t="s">
        <v>5</v>
      </c>
      <c r="P30" s="130">
        <v>113</v>
      </c>
    </row>
    <row r="31" spans="15:16" ht="12.75">
      <c r="O31" s="132" t="s">
        <v>6</v>
      </c>
      <c r="P31" s="130">
        <v>136</v>
      </c>
    </row>
    <row r="32" spans="15:16" ht="12.75">
      <c r="O32" s="132" t="s">
        <v>7</v>
      </c>
      <c r="P32" s="93"/>
    </row>
    <row r="33" spans="15:16" ht="12.75">
      <c r="O33" s="132" t="s">
        <v>10</v>
      </c>
      <c r="P33" s="130"/>
    </row>
    <row r="34" spans="15:16" ht="13.5" thickBot="1">
      <c r="O34" s="133" t="s">
        <v>32</v>
      </c>
      <c r="P34" s="131"/>
    </row>
    <row r="35" ht="12.75"/>
    <row r="36" ht="12.75"/>
    <row r="37" ht="12.75"/>
    <row r="38" ht="12.75"/>
    <row r="39" ht="12.75"/>
    <row r="40" ht="12.75"/>
    <row r="41" ht="12.75"/>
    <row r="42" ht="12.75"/>
    <row r="43" ht="12.75"/>
    <row r="44" ht="12.75"/>
    <row r="45" ht="12.75"/>
    <row r="46" ht="12.75"/>
    <row r="47" ht="12.75"/>
    <row r="48" ht="12.75">
      <c r="Q48" s="92"/>
    </row>
    <row r="49" ht="12.75"/>
    <row r="50" ht="12.75"/>
    <row r="51" ht="12.75"/>
    <row r="52" ht="12.75"/>
    <row r="53" ht="12.75"/>
    <row r="54" ht="12.75"/>
    <row r="55" ht="12.75"/>
    <row r="56" ht="12.75"/>
    <row r="57" ht="12.75"/>
    <row r="58" ht="12.75"/>
    <row r="59" ht="12.75"/>
    <row r="60" ht="12.75"/>
    <row r="61" ht="12.75"/>
    <row r="62" ht="12.75"/>
    <row r="63" ht="12.75"/>
    <row r="64" ht="12.75"/>
    <row r="65" ht="12.75"/>
    <row r="66" ht="13.5" thickBot="1"/>
    <row r="67" spans="3:12" ht="13.5" thickBot="1">
      <c r="C67" s="259" t="s">
        <v>69</v>
      </c>
      <c r="D67" s="260"/>
      <c r="E67" s="261"/>
      <c r="F67" s="125">
        <v>1</v>
      </c>
      <c r="G67" s="120">
        <v>2</v>
      </c>
      <c r="H67" s="120">
        <v>3</v>
      </c>
      <c r="I67" s="120">
        <v>4</v>
      </c>
      <c r="J67" s="120">
        <v>5</v>
      </c>
      <c r="K67" s="120">
        <v>6</v>
      </c>
      <c r="L67" s="121">
        <v>7</v>
      </c>
    </row>
    <row r="68" spans="3:12" ht="12.75">
      <c r="C68" s="262" t="s">
        <v>76</v>
      </c>
      <c r="D68" s="263"/>
      <c r="E68" s="264"/>
      <c r="F68" s="122">
        <f>IF(F69="","",F69*($D$7/$C$7*$E$7*F7*60)/(3.6*$F$4))</f>
        <v>8500</v>
      </c>
      <c r="G68" s="123">
        <f>IF(G69="","",G69*($D$7/$C$7*$E$7*G7*60)/(3.6*$F$4))</f>
        <v>8122.929536664988</v>
      </c>
      <c r="H68" s="123">
        <f>IF(H69="","",H69*($D$7/$C$7*$E$7*H7*60)/(3.6*$F$4))</f>
        <v>7782.506375365802</v>
      </c>
      <c r="I68" s="123">
        <f>IF(I69="","",I69*($D$7/$C$7*$E$7*I7*60)/(3.6*$F$4))</f>
        <v>7627.053024252299</v>
      </c>
      <c r="J68" s="123">
        <f>IF(J69="","",J69*($D$7/$C$7*$E$7*J7*60)/(3.6*$F$4))</f>
        <v>8500</v>
      </c>
      <c r="K68" s="123">
        <f>IF(K69="","",K69*($D$7/$C$7*$E$7*K7*60)/(3.6*$F$4))</f>
      </c>
      <c r="L68" s="124">
        <f>IF(L69="","",L69*($D$7/$C$7*$E$7*L7*60)/(3.6*$F$4))</f>
      </c>
    </row>
    <row r="69" spans="3:12" ht="13.5" thickBot="1">
      <c r="C69" s="265" t="s">
        <v>68</v>
      </c>
      <c r="D69" s="266"/>
      <c r="E69" s="267"/>
      <c r="F69" s="105">
        <f>IF(P28="",E114,P28)</f>
        <v>57.59498440658393</v>
      </c>
      <c r="G69" s="106">
        <f>IF(P29="",E115,P29)</f>
        <v>86</v>
      </c>
      <c r="H69" s="106">
        <f>IF(P30="",E116,P30)</f>
        <v>113</v>
      </c>
      <c r="I69" s="106">
        <f>IF(P31="",E117,P31)</f>
        <v>136</v>
      </c>
      <c r="J69" s="106">
        <f>IF(P32="",E118,P32)</f>
        <v>175.9846745756731</v>
      </c>
      <c r="K69" s="106">
        <f>IF(P33="",E119,P33)</f>
      </c>
      <c r="L69" s="95">
        <f>IF(P34="",E120,P34)</f>
      </c>
    </row>
    <row r="70" ht="12.75"/>
    <row r="71" ht="13.5" thickBot="1"/>
    <row r="72" spans="2:12" ht="33.75" customHeight="1" thickBot="1">
      <c r="B72" s="98" t="s">
        <v>54</v>
      </c>
      <c r="C72" s="99" t="s">
        <v>64</v>
      </c>
      <c r="D72" s="243" t="s">
        <v>55</v>
      </c>
      <c r="E72" s="244"/>
      <c r="F72" s="98" t="s">
        <v>57</v>
      </c>
      <c r="G72" s="99" t="s">
        <v>58</v>
      </c>
      <c r="H72" s="99" t="s">
        <v>59</v>
      </c>
      <c r="I72" s="99" t="s">
        <v>60</v>
      </c>
      <c r="J72" s="99" t="s">
        <v>61</v>
      </c>
      <c r="K72" s="99" t="s">
        <v>62</v>
      </c>
      <c r="L72" s="100" t="s">
        <v>63</v>
      </c>
    </row>
    <row r="73" spans="2:12" ht="12.75">
      <c r="B73" s="126">
        <v>75</v>
      </c>
      <c r="C73" s="96">
        <v>30</v>
      </c>
      <c r="D73" s="245">
        <f aca="true" t="shared" si="0" ref="D73:D88">C73/B$73*30000</f>
        <v>12000</v>
      </c>
      <c r="E73" s="246"/>
      <c r="F73" s="101">
        <f aca="true" t="shared" si="1" ref="F73:L82">IF(F$7="","",$F$4*3.6/($D$7/$C$7*$E$7)/F$7*$D73/60)</f>
        <v>81.31056622105966</v>
      </c>
      <c r="G73" s="102">
        <f t="shared" si="1"/>
        <v>127.04775972040572</v>
      </c>
      <c r="H73" s="102">
        <f t="shared" si="1"/>
        <v>174.23692761655641</v>
      </c>
      <c r="I73" s="102">
        <f t="shared" si="1"/>
        <v>213.9751742659465</v>
      </c>
      <c r="J73" s="102">
        <f t="shared" si="1"/>
        <v>248.44895234212672</v>
      </c>
      <c r="K73" s="102">
        <f t="shared" si="1"/>
      </c>
      <c r="L73" s="97">
        <f t="shared" si="1"/>
      </c>
    </row>
    <row r="74" spans="2:12" ht="12.75">
      <c r="B74" s="127"/>
      <c r="C74" s="75">
        <v>29</v>
      </c>
      <c r="D74" s="184">
        <f t="shared" si="0"/>
        <v>11600</v>
      </c>
      <c r="E74" s="185"/>
      <c r="F74" s="103">
        <f t="shared" si="1"/>
        <v>78.60021401369099</v>
      </c>
      <c r="G74" s="104">
        <f t="shared" si="1"/>
        <v>122.81283439639219</v>
      </c>
      <c r="H74" s="104">
        <f t="shared" si="1"/>
        <v>168.42903002933787</v>
      </c>
      <c r="I74" s="104">
        <f t="shared" si="1"/>
        <v>206.84266845708163</v>
      </c>
      <c r="J74" s="104">
        <f t="shared" si="1"/>
        <v>240.16732059738916</v>
      </c>
      <c r="K74" s="104">
        <f t="shared" si="1"/>
      </c>
      <c r="L74" s="93">
        <f t="shared" si="1"/>
      </c>
    </row>
    <row r="75" spans="2:12" ht="12.75">
      <c r="B75" s="127"/>
      <c r="C75" s="75">
        <v>28</v>
      </c>
      <c r="D75" s="184">
        <f t="shared" si="0"/>
        <v>11200</v>
      </c>
      <c r="E75" s="185"/>
      <c r="F75" s="103">
        <f t="shared" si="1"/>
        <v>75.88986180632234</v>
      </c>
      <c r="G75" s="104">
        <f t="shared" si="1"/>
        <v>118.57790907237866</v>
      </c>
      <c r="H75" s="104">
        <f t="shared" si="1"/>
        <v>162.62113244211932</v>
      </c>
      <c r="I75" s="104">
        <f t="shared" si="1"/>
        <v>199.71016264821674</v>
      </c>
      <c r="J75" s="104">
        <f t="shared" si="1"/>
        <v>231.8856888526516</v>
      </c>
      <c r="K75" s="104">
        <f t="shared" si="1"/>
      </c>
      <c r="L75" s="93">
        <f t="shared" si="1"/>
      </c>
    </row>
    <row r="76" spans="2:12" ht="12.75">
      <c r="B76" s="127"/>
      <c r="C76" s="75">
        <v>27</v>
      </c>
      <c r="D76" s="184">
        <f t="shared" si="0"/>
        <v>10800</v>
      </c>
      <c r="E76" s="185"/>
      <c r="F76" s="103">
        <f t="shared" si="1"/>
        <v>73.17950959895369</v>
      </c>
      <c r="G76" s="104">
        <f t="shared" si="1"/>
        <v>114.34298374836516</v>
      </c>
      <c r="H76" s="104">
        <f t="shared" si="1"/>
        <v>156.81323485490077</v>
      </c>
      <c r="I76" s="104">
        <f t="shared" si="1"/>
        <v>192.57765683935185</v>
      </c>
      <c r="J76" s="104">
        <f t="shared" si="1"/>
        <v>223.60405710791403</v>
      </c>
      <c r="K76" s="104">
        <f t="shared" si="1"/>
      </c>
      <c r="L76" s="93">
        <f t="shared" si="1"/>
      </c>
    </row>
    <row r="77" spans="2:12" ht="12.75">
      <c r="B77" s="127"/>
      <c r="C77" s="75">
        <v>26</v>
      </c>
      <c r="D77" s="184">
        <f t="shared" si="0"/>
        <v>10400</v>
      </c>
      <c r="E77" s="185"/>
      <c r="F77" s="103">
        <f t="shared" si="1"/>
        <v>70.46915739158503</v>
      </c>
      <c r="G77" s="104">
        <f t="shared" si="1"/>
        <v>110.10805842435163</v>
      </c>
      <c r="H77" s="104">
        <f t="shared" si="1"/>
        <v>151.0053372676822</v>
      </c>
      <c r="I77" s="104">
        <f t="shared" si="1"/>
        <v>185.44515103048698</v>
      </c>
      <c r="J77" s="104">
        <f t="shared" si="1"/>
        <v>215.32242536317648</v>
      </c>
      <c r="K77" s="104">
        <f t="shared" si="1"/>
      </c>
      <c r="L77" s="93">
        <f t="shared" si="1"/>
      </c>
    </row>
    <row r="78" spans="2:12" ht="12.75">
      <c r="B78" s="127"/>
      <c r="C78" s="107">
        <v>25</v>
      </c>
      <c r="D78" s="253">
        <f t="shared" si="0"/>
        <v>10000</v>
      </c>
      <c r="E78" s="254"/>
      <c r="F78" s="109">
        <f t="shared" si="1"/>
        <v>67.75880518421637</v>
      </c>
      <c r="G78" s="110">
        <f t="shared" si="1"/>
        <v>105.8731331003381</v>
      </c>
      <c r="H78" s="110">
        <f t="shared" si="1"/>
        <v>145.19743968046365</v>
      </c>
      <c r="I78" s="110">
        <f t="shared" si="1"/>
        <v>178.3126452216221</v>
      </c>
      <c r="J78" s="110">
        <f t="shared" si="1"/>
        <v>207.04079361843893</v>
      </c>
      <c r="K78" s="110">
        <f t="shared" si="1"/>
      </c>
      <c r="L78" s="108">
        <f t="shared" si="1"/>
      </c>
    </row>
    <row r="79" spans="2:12" ht="12.75">
      <c r="B79" s="127"/>
      <c r="C79" s="75">
        <v>24</v>
      </c>
      <c r="D79" s="184">
        <f t="shared" si="0"/>
        <v>9600</v>
      </c>
      <c r="E79" s="185"/>
      <c r="F79" s="103">
        <f t="shared" si="1"/>
        <v>65.04845297684773</v>
      </c>
      <c r="G79" s="104">
        <f t="shared" si="1"/>
        <v>101.63820777632458</v>
      </c>
      <c r="H79" s="104">
        <f t="shared" si="1"/>
        <v>139.3895420932451</v>
      </c>
      <c r="I79" s="104">
        <f t="shared" si="1"/>
        <v>171.1801394127572</v>
      </c>
      <c r="J79" s="104">
        <f t="shared" si="1"/>
        <v>198.75916187370137</v>
      </c>
      <c r="K79" s="104">
        <f t="shared" si="1"/>
      </c>
      <c r="L79" s="93">
        <f t="shared" si="1"/>
      </c>
    </row>
    <row r="80" spans="2:12" ht="12.75">
      <c r="B80" s="127"/>
      <c r="C80" s="75">
        <v>23</v>
      </c>
      <c r="D80" s="184">
        <f t="shared" si="0"/>
        <v>9200</v>
      </c>
      <c r="E80" s="185"/>
      <c r="F80" s="103">
        <f t="shared" si="1"/>
        <v>62.33810076947907</v>
      </c>
      <c r="G80" s="104">
        <f t="shared" si="1"/>
        <v>97.40328245231105</v>
      </c>
      <c r="H80" s="104">
        <f t="shared" si="1"/>
        <v>133.58164450602658</v>
      </c>
      <c r="I80" s="104">
        <f t="shared" si="1"/>
        <v>164.0476336038923</v>
      </c>
      <c r="J80" s="104">
        <f t="shared" si="1"/>
        <v>190.47753012896382</v>
      </c>
      <c r="K80" s="104">
        <f t="shared" si="1"/>
      </c>
      <c r="L80" s="93">
        <f t="shared" si="1"/>
      </c>
    </row>
    <row r="81" spans="2:12" ht="12.75" customHeight="1">
      <c r="B81" s="127"/>
      <c r="C81" s="111">
        <v>22</v>
      </c>
      <c r="D81" s="181">
        <f t="shared" si="0"/>
        <v>8800</v>
      </c>
      <c r="E81" s="182"/>
      <c r="F81" s="113">
        <f t="shared" si="1"/>
        <v>59.62774856211042</v>
      </c>
      <c r="G81" s="114">
        <f t="shared" si="1"/>
        <v>93.16835712829752</v>
      </c>
      <c r="H81" s="114">
        <f t="shared" si="1"/>
        <v>127.77374691880803</v>
      </c>
      <c r="I81" s="114">
        <f t="shared" si="1"/>
        <v>156.91512779502742</v>
      </c>
      <c r="J81" s="114">
        <f t="shared" si="1"/>
        <v>182.19589838422627</v>
      </c>
      <c r="K81" s="114">
        <f t="shared" si="1"/>
      </c>
      <c r="L81" s="112">
        <f t="shared" si="1"/>
      </c>
    </row>
    <row r="82" spans="2:12" ht="12.75">
      <c r="B82" s="127"/>
      <c r="C82" s="75">
        <v>21</v>
      </c>
      <c r="D82" s="184">
        <f t="shared" si="0"/>
        <v>8400</v>
      </c>
      <c r="E82" s="185"/>
      <c r="F82" s="103">
        <f t="shared" si="1"/>
        <v>56.91739635474176</v>
      </c>
      <c r="G82" s="104">
        <f t="shared" si="1"/>
        <v>88.93343180428401</v>
      </c>
      <c r="H82" s="104">
        <f t="shared" si="1"/>
        <v>121.96584933158948</v>
      </c>
      <c r="I82" s="104">
        <f t="shared" si="1"/>
        <v>149.78262198616255</v>
      </c>
      <c r="J82" s="104">
        <f t="shared" si="1"/>
        <v>173.9142666394887</v>
      </c>
      <c r="K82" s="104">
        <f t="shared" si="1"/>
      </c>
      <c r="L82" s="93">
        <f t="shared" si="1"/>
      </c>
    </row>
    <row r="83" spans="2:12" ht="12.75">
      <c r="B83" s="127"/>
      <c r="C83" s="115">
        <v>20</v>
      </c>
      <c r="D83" s="257">
        <f t="shared" si="0"/>
        <v>8000</v>
      </c>
      <c r="E83" s="258"/>
      <c r="F83" s="117">
        <f aca="true" t="shared" si="2" ref="F83:L88">IF(F$7="","",$F$4*3.6/($D$7/$C$7*$E$7)/F$7*$D83/60)</f>
        <v>54.207044147373104</v>
      </c>
      <c r="G83" s="118">
        <f t="shared" si="2"/>
        <v>84.69850648027048</v>
      </c>
      <c r="H83" s="118">
        <f t="shared" si="2"/>
        <v>116.15795174437093</v>
      </c>
      <c r="I83" s="118">
        <f t="shared" si="2"/>
        <v>142.65011617729766</v>
      </c>
      <c r="J83" s="118">
        <f t="shared" si="2"/>
        <v>165.63263489475113</v>
      </c>
      <c r="K83" s="118">
        <f t="shared" si="2"/>
      </c>
      <c r="L83" s="116">
        <f t="shared" si="2"/>
      </c>
    </row>
    <row r="84" spans="2:12" ht="12.75">
      <c r="B84" s="127"/>
      <c r="C84" s="75">
        <v>19</v>
      </c>
      <c r="D84" s="184">
        <f t="shared" si="0"/>
        <v>7600.000000000001</v>
      </c>
      <c r="E84" s="185"/>
      <c r="F84" s="103">
        <f t="shared" si="2"/>
        <v>51.49669194000445</v>
      </c>
      <c r="G84" s="104">
        <f t="shared" si="2"/>
        <v>80.46358115625695</v>
      </c>
      <c r="H84" s="104">
        <f t="shared" si="2"/>
        <v>110.35005415715241</v>
      </c>
      <c r="I84" s="104">
        <f t="shared" si="2"/>
        <v>135.5176103684328</v>
      </c>
      <c r="J84" s="104">
        <f t="shared" si="2"/>
        <v>157.3510031500136</v>
      </c>
      <c r="K84" s="104">
        <f t="shared" si="2"/>
      </c>
      <c r="L84" s="93">
        <f t="shared" si="2"/>
      </c>
    </row>
    <row r="85" spans="2:12" ht="12.75">
      <c r="B85" s="127"/>
      <c r="C85" s="75">
        <v>18</v>
      </c>
      <c r="D85" s="184">
        <f t="shared" si="0"/>
        <v>7200</v>
      </c>
      <c r="E85" s="185"/>
      <c r="F85" s="103">
        <f t="shared" si="2"/>
        <v>48.786339732635795</v>
      </c>
      <c r="G85" s="104">
        <f t="shared" si="2"/>
        <v>76.22865583224343</v>
      </c>
      <c r="H85" s="104">
        <f t="shared" si="2"/>
        <v>104.54215656993385</v>
      </c>
      <c r="I85" s="104">
        <f t="shared" si="2"/>
        <v>128.3851045595679</v>
      </c>
      <c r="J85" s="104">
        <f t="shared" si="2"/>
        <v>149.06937140527603</v>
      </c>
      <c r="K85" s="104">
        <f t="shared" si="2"/>
      </c>
      <c r="L85" s="93">
        <f t="shared" si="2"/>
      </c>
    </row>
    <row r="86" spans="2:12" ht="12.75">
      <c r="B86" s="127"/>
      <c r="C86" s="75">
        <v>17</v>
      </c>
      <c r="D86" s="184">
        <f t="shared" si="0"/>
        <v>6800</v>
      </c>
      <c r="E86" s="185"/>
      <c r="F86" s="103">
        <f t="shared" si="2"/>
        <v>46.07598752526714</v>
      </c>
      <c r="G86" s="104">
        <f t="shared" si="2"/>
        <v>71.9937305082299</v>
      </c>
      <c r="H86" s="104">
        <f t="shared" si="2"/>
        <v>98.7342589827153</v>
      </c>
      <c r="I86" s="104">
        <f t="shared" si="2"/>
        <v>121.25259875070302</v>
      </c>
      <c r="J86" s="104">
        <f t="shared" si="2"/>
        <v>140.78773966053848</v>
      </c>
      <c r="K86" s="104">
        <f t="shared" si="2"/>
      </c>
      <c r="L86" s="93">
        <f t="shared" si="2"/>
      </c>
    </row>
    <row r="87" spans="2:12" ht="12.75">
      <c r="B87" s="127"/>
      <c r="C87" s="75">
        <v>16</v>
      </c>
      <c r="D87" s="184">
        <f t="shared" si="0"/>
        <v>6400</v>
      </c>
      <c r="E87" s="185"/>
      <c r="F87" s="103">
        <f t="shared" si="2"/>
        <v>43.36563531789849</v>
      </c>
      <c r="G87" s="104">
        <f t="shared" si="2"/>
        <v>67.75880518421638</v>
      </c>
      <c r="H87" s="104">
        <f t="shared" si="2"/>
        <v>92.92636139549676</v>
      </c>
      <c r="I87" s="104">
        <f t="shared" si="2"/>
        <v>114.12009294183812</v>
      </c>
      <c r="J87" s="104">
        <f t="shared" si="2"/>
        <v>132.50610791580092</v>
      </c>
      <c r="K87" s="104">
        <f t="shared" si="2"/>
      </c>
      <c r="L87" s="93">
        <f t="shared" si="2"/>
      </c>
    </row>
    <row r="88" spans="2:12" ht="13.5" thickBot="1">
      <c r="B88" s="128"/>
      <c r="C88" s="94">
        <v>15</v>
      </c>
      <c r="D88" s="268">
        <f t="shared" si="0"/>
        <v>6000</v>
      </c>
      <c r="E88" s="269"/>
      <c r="F88" s="105">
        <f t="shared" si="2"/>
        <v>40.65528311052983</v>
      </c>
      <c r="G88" s="106">
        <f t="shared" si="2"/>
        <v>63.52387986020286</v>
      </c>
      <c r="H88" s="106">
        <f t="shared" si="2"/>
        <v>87.11846380827821</v>
      </c>
      <c r="I88" s="106">
        <f t="shared" si="2"/>
        <v>106.98758713297325</v>
      </c>
      <c r="J88" s="106">
        <f t="shared" si="2"/>
        <v>124.22447617106336</v>
      </c>
      <c r="K88" s="106">
        <f t="shared" si="2"/>
      </c>
      <c r="L88" s="95">
        <f t="shared" si="2"/>
      </c>
    </row>
    <row r="89" ht="12.75"/>
    <row r="90" ht="12.75"/>
    <row r="91" ht="12.75"/>
    <row r="92" ht="12.75"/>
    <row r="93" ht="12.75"/>
    <row r="94" ht="12.75"/>
    <row r="95" ht="12.75"/>
    <row r="96" ht="12.75"/>
    <row r="97" ht="13.5" thickBot="1"/>
    <row r="98" spans="1:13" ht="12.75">
      <c r="A98" s="255" t="s">
        <v>11</v>
      </c>
      <c r="B98" s="256"/>
      <c r="C98" s="14">
        <f>IF('Leistung u. Drehmoment'!C1="",0,IF(($F$7&lt;=0),0,(3.6*$F$4*'Leistung u. Drehmoment'!C$1/($D$7/$C$7*$E$7*$F$7*60))))</f>
        <v>20.32764155526492</v>
      </c>
      <c r="D98" s="14">
        <f>IF('Leistung u. Drehmoment'!D1="",C98,IF(($F$7&lt;=0),0,(3.6*$F$4*'Leistung u. Drehmoment'!D$1/($D$7/$C$7*$E$7*$F$7*60))))</f>
        <v>27.10352207368656</v>
      </c>
      <c r="E98" s="14">
        <f>IF('Leistung u. Drehmoment'!E1="",D98,IF(($F$7&lt;=0),0,(3.6*$F$4*'Leistung u. Drehmoment'!E$1/($D$7/$C$7*$E$7*$F$7*60))))</f>
        <v>30.491462332897378</v>
      </c>
      <c r="F98" s="14">
        <f>IF('Leistung u. Drehmoment'!F1="",E98,IF(($F$7&lt;=0),0,(3.6*$F$4*'Leistung u. Drehmoment'!F$1/($D$7/$C$7*$E$7*$F$7*60))))</f>
        <v>33.8794025921082</v>
      </c>
      <c r="G98" s="14">
        <f>IF('Leistung u. Drehmoment'!G1="",F98,IF(($F$7&lt;=0),0,(3.6*$F$4*'Leistung u. Drehmoment'!G$1/($D$7/$C$7*$E$7*$F$7*60))))</f>
        <v>37.267342851319015</v>
      </c>
      <c r="H98" s="14">
        <f>IF('Leistung u. Drehmoment'!H1="",G98,IF(($F$7&lt;=0),0,(3.6*$F$4*'Leistung u. Drehmoment'!H$1/($D$7/$C$7*$E$7*$F$7*60))))</f>
        <v>40.65528311052984</v>
      </c>
      <c r="I98" s="14">
        <f>IF('Leistung u. Drehmoment'!I1="",H98,IF(($F$7&lt;=0),0,(3.6*$F$4*'Leistung u. Drehmoment'!I$1/($D$7/$C$7*$E$7*$F$7*60))))</f>
        <v>44.04322336974065</v>
      </c>
      <c r="J98" s="14">
        <f>IF('Leistung u. Drehmoment'!J1="",I98,IF(($F$7&lt;=0),0,(3.6*$F$4*'Leistung u. Drehmoment'!J$1/($D$7/$C$7*$E$7*$F$7*60))))</f>
        <v>47.43116362895148</v>
      </c>
      <c r="K98" s="14">
        <f>IF('Leistung u. Drehmoment'!K1="",J98,IF(($F$7&lt;=0),0,(3.6*$F$4*'Leistung u. Drehmoment'!K$1/($D$7/$C$7*$E$7*$F$7*60))))</f>
        <v>50.819103888162296</v>
      </c>
      <c r="L98" s="14">
        <f>IF('Leistung u. Drehmoment'!L1="",K98,IF(($F$7&lt;=0),0,(3.6*$F$4*'Leistung u. Drehmoment'!L$1/($D$7/$C$7*$E$7*$F$7*60))))</f>
        <v>54.20704414737312</v>
      </c>
      <c r="M98" s="15">
        <f>IF('Leistung u. Drehmoment'!M1="",L98,IF(($F$7&lt;=0),0,(3.6*$F$4*'Leistung u. Drehmoment'!M$1/($D$7/$C$7*$E$7*$F$7*60))))</f>
        <v>57.59498440658393</v>
      </c>
    </row>
    <row r="99" spans="1:13" ht="12.75">
      <c r="A99" s="207" t="s">
        <v>0</v>
      </c>
      <c r="B99" s="206"/>
      <c r="C99" s="16">
        <f>IF('Leistung u. Drehmoment'!C1="",0,IF(($F$7=0),0,('Leistung u. Drehmoment'!C$4*$D$7/$C$7*$E$7*$F$7*$C$8*$E$8*$F$8/($F$4/2/PI()))))</f>
        <v>1795.2937584092413</v>
      </c>
      <c r="D99" s="16">
        <f>IF('Leistung u. Drehmoment'!D1="",C99,IF(($F$7=0),0,('Leistung u. Drehmoment'!D$4*$D$7/$C$7*$E$7*$F$7*$C$8*$E$8*$F$8/($F$4/2/PI()))))</f>
        <v>2448.127852376238</v>
      </c>
      <c r="E99" s="16">
        <f>IF('Leistung u. Drehmoment'!E1="",D99,IF(($F$7=0),0,('Leistung u. Drehmoment'!E$4*$D$7/$C$7*$E$7*$F$7*$C$8*$E$8*$F$8/($F$4/2/PI()))))</f>
        <v>2720.142058195821</v>
      </c>
      <c r="F99" s="16">
        <f>IF('Leistung u. Drehmoment'!F1="",E99,IF(($F$7=0),0,('Leistung u. Drehmoment'!F$4*$D$7/$C$7*$E$7*$F$7*$C$8*$E$8*$F$8/($F$4/2/PI()))))</f>
        <v>2937.7534228514864</v>
      </c>
      <c r="G99" s="16">
        <f>IF('Leistung u. Drehmoment'!G1="",F99,IF(($F$7=0),0,('Leistung u. Drehmoment'!G$4*$D$7/$C$7*$E$7*$F$7*$C$8*$E$8*$F$8/($F$4/2/PI()))))</f>
        <v>3115.7990848424856</v>
      </c>
      <c r="H99" s="16">
        <f>IF('Leistung u. Drehmoment'!H1="",G99,IF(($F$7=0),0,('Leistung u. Drehmoment'!H$4*$D$7/$C$7*$E$7*$F$7*$C$8*$E$8*$F$8/($F$4/2/PI()))))</f>
        <v>3182.5662080891093</v>
      </c>
      <c r="I99" s="16">
        <f>IF('Leistung u. Drehmoment'!I1="",H99,IF(($F$7=0),0,('Leistung u. Drehmoment'!I$4*$D$7/$C$7*$E$7*$F$7*$C$8*$E$8*$F$8/($F$4/2/PI()))))</f>
        <v>3163.7344553785233</v>
      </c>
      <c r="J99" s="16">
        <f>IF('Leistung u. Drehmoment'!J1="",I99,IF(($F$7=0),0,('Leistung u. Drehmoment'!J$4*$D$7/$C$7*$E$7*$F$7*$C$8*$E$8*$F$8/($F$4/2/PI()))))</f>
        <v>3042.6731879533245</v>
      </c>
      <c r="K99" s="16">
        <f>IF('Leistung u. Drehmoment'!K1="",J99,IF(($F$7=0),0,('Leistung u. Drehmoment'!K$4*$D$7/$C$7*$E$7*$F$7*$C$8*$E$8*$F$8/($F$4/2/PI()))))</f>
        <v>2807.1866040580862</v>
      </c>
      <c r="L99" s="16">
        <f>IF('Leistung u. Drehmoment'!L1="",K99,IF(($F$7=0),0,('Leistung u. Drehmoment'!L$4*$D$7/$C$7*$E$7*$F$7*$C$8*$E$8*$F$8/($F$4/2/PI()))))</f>
        <v>2448.127852376238</v>
      </c>
      <c r="M99" s="17">
        <f>IF('Leistung u. Drehmoment'!M1="",L99,IF(($F$7=0),0,('Leistung u. Drehmoment'!M$4*$D$7/$C$7*$E$7*$F$7*$C$8*$E$8*$F$8/($F$4/2/PI()))))</f>
        <v>1958.502281900991</v>
      </c>
    </row>
    <row r="100" spans="1:13" ht="12.75">
      <c r="A100" s="207" t="s">
        <v>12</v>
      </c>
      <c r="B100" s="206"/>
      <c r="C100" s="16">
        <f>IF('Leistung u. Drehmoment'!C1="",0,IF(($G$7&lt;=0),0,(3.6*$F$4*'Leistung u. Drehmoment'!C$1/($D$7/$C$7*$E$7*$G$7*60))))</f>
        <v>31.761939930101434</v>
      </c>
      <c r="D100" s="16">
        <f>IF('Leistung u. Drehmoment'!D1="",C100,IF(($G$7&lt;=0),0,(3.6*$F$4*'Leistung u. Drehmoment'!D$1/($D$7/$C$7*$E$7*$G$7*60))))</f>
        <v>42.34925324013525</v>
      </c>
      <c r="E100" s="16">
        <f>IF('Leistung u. Drehmoment'!E1="",D100,IF(($G$7&lt;=0),0,(3.6*$F$4*'Leistung u. Drehmoment'!E$1/($D$7/$C$7*$E$7*$G$7*60))))</f>
        <v>47.64290989515215</v>
      </c>
      <c r="F100" s="16">
        <f>IF('Leistung u. Drehmoment'!F1="",E100,IF(($G$7&lt;=0),0,(3.6*$F$4*'Leistung u. Drehmoment'!F$1/($D$7/$C$7*$E$7*$G$7*60))))</f>
        <v>52.936566550169054</v>
      </c>
      <c r="G100" s="16">
        <f>IF('Leistung u. Drehmoment'!G1="",F100,IF(($G$7&lt;=0),0,(3.6*$F$4*'Leistung u. Drehmoment'!G$1/($D$7/$C$7*$E$7*$G$7*60))))</f>
        <v>58.23022320518596</v>
      </c>
      <c r="H100" s="16">
        <f>IF('Leistung u. Drehmoment'!H1="",G100,IF(($G$7&lt;=0),0,(3.6*$F$4*'Leistung u. Drehmoment'!H$1/($D$7/$C$7*$E$7*$G$7*60))))</f>
        <v>63.52387986020287</v>
      </c>
      <c r="I100" s="16">
        <f>IF('Leistung u. Drehmoment'!I1="",H100,IF(($G$7&lt;=0),0,(3.6*$F$4*'Leistung u. Drehmoment'!I$1/($D$7/$C$7*$E$7*$G$7*60))))</f>
        <v>68.81753651521977</v>
      </c>
      <c r="J100" s="16">
        <f>IF('Leistung u. Drehmoment'!J1="",I100,IF(($G$7&lt;=0),0,(3.6*$F$4*'Leistung u. Drehmoment'!J$1/($D$7/$C$7*$E$7*$G$7*60))))</f>
        <v>74.11119317023667</v>
      </c>
      <c r="K100" s="16">
        <f>IF('Leistung u. Drehmoment'!K1="",J100,IF(($G$7&lt;=0),0,(3.6*$F$4*'Leistung u. Drehmoment'!K$1/($D$7/$C$7*$E$7*$G$7*60))))</f>
        <v>79.40484982525358</v>
      </c>
      <c r="L100" s="16">
        <f>IF('Leistung u. Drehmoment'!L1="",K100,IF(($G$7&lt;=0),0,(3.6*$F$4*'Leistung u. Drehmoment'!L$1/($D$7/$C$7*$E$7*$G$7*60))))</f>
        <v>84.6985064802705</v>
      </c>
      <c r="M100" s="17">
        <f>IF('Leistung u. Drehmoment'!M1="",L100,IF(($G$7&lt;=0),0,(3.6*$F$4*'Leistung u. Drehmoment'!M$1/($D$7/$C$7*$E$7*$G$7*60))))</f>
        <v>89.99216313528738</v>
      </c>
    </row>
    <row r="101" spans="1:13" ht="12.75">
      <c r="A101" s="207" t="s">
        <v>1</v>
      </c>
      <c r="B101" s="206"/>
      <c r="C101" s="16">
        <f>IF('Leistung u. Drehmoment'!C1="",0,IF(($G$7=0),0,('Leistung u. Drehmoment'!C$4*$D$7/$C$7*$E$7*$G$7*$C$8*$E$8*$G$8/($F$4/2/PI()))))</f>
        <v>1148.9880053819147</v>
      </c>
      <c r="D101" s="16">
        <f>IF('Leistung u. Drehmoment'!D1="",C101,IF(($G$7=0),0,('Leistung u. Drehmoment'!D$4*$D$7/$C$7*$E$7*$G$7*$C$8*$E$8*$G$8/($F$4/2/PI()))))</f>
        <v>1566.8018255207928</v>
      </c>
      <c r="E101" s="16">
        <f>IF('Leistung u. Drehmoment'!E1="",D101,IF(($G$7=0),0,('Leistung u. Drehmoment'!E$4*$D$7/$C$7*$E$7*$G$7*$C$8*$E$8*$G$8/($F$4/2/PI()))))</f>
        <v>1740.8909172453252</v>
      </c>
      <c r="F101" s="16">
        <f>IF('Leistung u. Drehmoment'!F1="",E101,IF(($G$7=0),0,('Leistung u. Drehmoment'!F$4*$D$7/$C$7*$E$7*$G$7*$C$8*$E$8*$G$8/($F$4/2/PI()))))</f>
        <v>1880.1621906249513</v>
      </c>
      <c r="G101" s="16">
        <f>IF('Leistung u. Drehmoment'!G1="",F101,IF(($G$7=0),0,('Leistung u. Drehmoment'!G$4*$D$7/$C$7*$E$7*$G$7*$C$8*$E$8*$G$8/($F$4/2/PI()))))</f>
        <v>1994.111414299191</v>
      </c>
      <c r="H101" s="16">
        <f>IF('Leistung u. Drehmoment'!H1="",G101,IF(($G$7=0),0,('Leistung u. Drehmoment'!H$4*$D$7/$C$7*$E$7*$G$7*$C$8*$E$8*$G$8/($F$4/2/PI()))))</f>
        <v>2036.8423731770304</v>
      </c>
      <c r="I101" s="16">
        <f>IF('Leistung u. Drehmoment'!I1="",H101,IF(($G$7=0),0,('Leistung u. Drehmoment'!I$4*$D$7/$C$7*$E$7*$G$7*$C$8*$E$8*$G$8/($F$4/2/PI()))))</f>
        <v>2024.7900514422552</v>
      </c>
      <c r="J101" s="16">
        <f>IF('Leistung u. Drehmoment'!J1="",I101,IF(($G$7=0),0,('Leistung u. Drehmoment'!J$4*$D$7/$C$7*$E$7*$G$7*$C$8*$E$8*$G$8/($F$4/2/PI()))))</f>
        <v>1947.3108402901273</v>
      </c>
      <c r="K101" s="16">
        <f>IF('Leistung u. Drehmoment'!K1="",J101,IF(($G$7=0),0,('Leistung u. Drehmoment'!K$4*$D$7/$C$7*$E$7*$G$7*$C$8*$E$8*$G$8/($F$4/2/PI()))))</f>
        <v>1796.5994265971754</v>
      </c>
      <c r="L101" s="16">
        <f>IF('Leistung u. Drehmoment'!L1="",K101,IF(($G$7=0),0,('Leistung u. Drehmoment'!L$4*$D$7/$C$7*$E$7*$G$7*$C$8*$E$8*$G$8/($F$4/2/PI()))))</f>
        <v>1566.8018255207928</v>
      </c>
      <c r="M101" s="17">
        <f>IF('Leistung u. Drehmoment'!M1="",L101,IF(($G$7=0),0,('Leistung u. Drehmoment'!M$4*$D$7/$C$7*$E$7*$G$7*$C$8*$E$8*$G$8/($F$4/2/PI()))))</f>
        <v>1253.441460416634</v>
      </c>
    </row>
    <row r="102" spans="1:13" ht="12.75">
      <c r="A102" s="207" t="s">
        <v>13</v>
      </c>
      <c r="B102" s="206"/>
      <c r="C102" s="16">
        <f>IF('Leistung u. Drehmoment'!C1="",0,IF(($H$7&lt;=0),0,(3.6*$F$4*'Leistung u. Drehmoment'!C$1/($D$7/$C$7*$E$7*$H$7*60))))</f>
        <v>43.559231904139104</v>
      </c>
      <c r="D102" s="16">
        <f>IF('Leistung u. Drehmoment'!D1="",C102,IF(($H$7&lt;=0),0,(3.6*$F$4*'Leistung u. Drehmoment'!D$1/($D$7/$C$7*$E$7*$H$7*60))))</f>
        <v>58.078975872185474</v>
      </c>
      <c r="E102" s="16">
        <f>IF('Leistung u. Drehmoment'!E1="",D102,IF(($H$7&lt;=0),0,(3.6*$F$4*'Leistung u. Drehmoment'!E$1/($D$7/$C$7*$E$7*$H$7*60))))</f>
        <v>65.33884785620866</v>
      </c>
      <c r="F102" s="16">
        <f>IF('Leistung u. Drehmoment'!F1="",E102,IF(($H$7&lt;=0),0,(3.6*$F$4*'Leistung u. Drehmoment'!F$1/($D$7/$C$7*$E$7*$H$7*60))))</f>
        <v>72.59871984023184</v>
      </c>
      <c r="G102" s="16">
        <f>IF('Leistung u. Drehmoment'!G1="",F102,IF(($H$7&lt;=0),0,(3.6*$F$4*'Leistung u. Drehmoment'!G$1/($D$7/$C$7*$E$7*$H$7*60))))</f>
        <v>79.85859182425502</v>
      </c>
      <c r="H102" s="16">
        <f>IF('Leistung u. Drehmoment'!H1="",G102,IF(($H$7&lt;=0),0,(3.6*$F$4*'Leistung u. Drehmoment'!H$1/($D$7/$C$7*$E$7*$H$7*60))))</f>
        <v>87.11846380827821</v>
      </c>
      <c r="I102" s="16">
        <f>IF('Leistung u. Drehmoment'!I1="",H102,IF(($H$7&lt;=0),0,(3.6*$F$4*'Leistung u. Drehmoment'!I$1/($D$7/$C$7*$E$7*$H$7*60))))</f>
        <v>94.37833579230139</v>
      </c>
      <c r="J102" s="16">
        <f>IF('Leistung u. Drehmoment'!J1="",I102,IF(($H$7&lt;=0),0,(3.6*$F$4*'Leistung u. Drehmoment'!J$1/($D$7/$C$7*$E$7*$H$7*60))))</f>
        <v>101.63820777632458</v>
      </c>
      <c r="K102" s="16">
        <f>IF('Leistung u. Drehmoment'!K1="",J102,IF(($H$7&lt;=0),0,(3.6*$F$4*'Leistung u. Drehmoment'!K$1/($D$7/$C$7*$E$7*$H$7*60))))</f>
        <v>108.89807976034776</v>
      </c>
      <c r="L102" s="16">
        <f>IF('Leistung u. Drehmoment'!L1="",K102,IF(($H$7&lt;=0),0,(3.6*$F$4*'Leistung u. Drehmoment'!L$1/($D$7/$C$7*$E$7*$H$7*60))))</f>
        <v>116.15795174437095</v>
      </c>
      <c r="M102" s="17">
        <f>IF('Leistung u. Drehmoment'!M1="",L102,IF(($H$7&lt;=0),0,(3.6*$F$4*'Leistung u. Drehmoment'!M$1/($D$7/$C$7*$E$7*$H$7*60))))</f>
        <v>123.41782372839411</v>
      </c>
    </row>
    <row r="103" spans="1:13" ht="12.75">
      <c r="A103" s="207" t="s">
        <v>2</v>
      </c>
      <c r="B103" s="206"/>
      <c r="C103" s="16">
        <f>IF('Leistung u. Drehmoment'!C1="",0,IF(($H$7=0),0,('Leistung u. Drehmoment'!C$4*$D$7/$C$7*$E$7*$H$7*$C$8*$E$8*$H$8/($F$4/2/PI()))))</f>
        <v>837.8037539243127</v>
      </c>
      <c r="D103" s="16">
        <f>IF('Leistung u. Drehmoment'!D1="",C103,IF(($H$7=0),0,('Leistung u. Drehmoment'!D$4*$D$7/$C$7*$E$7*$H$7*$C$8*$E$8*$H$8/($F$4/2/PI()))))</f>
        <v>1142.4596644422447</v>
      </c>
      <c r="E103" s="16">
        <f>IF('Leistung u. Drehmoment'!E1="",D103,IF(($H$7=0),0,('Leistung u. Drehmoment'!E$4*$D$7/$C$7*$E$7*$H$7*$C$8*$E$8*$H$8/($F$4/2/PI()))))</f>
        <v>1269.3996271580497</v>
      </c>
      <c r="F103" s="16">
        <f>IF('Leistung u. Drehmoment'!F1="",E103,IF(($H$7=0),0,('Leistung u. Drehmoment'!F$4*$D$7/$C$7*$E$7*$H$7*$C$8*$E$8*$H$8/($F$4/2/PI()))))</f>
        <v>1370.9515973306936</v>
      </c>
      <c r="G103" s="16">
        <f>IF('Leistung u. Drehmoment'!G1="",F103,IF(($H$7=0),0,('Leistung u. Drehmoment'!G$4*$D$7/$C$7*$E$7*$H$7*$C$8*$E$8*$H$8/($F$4/2/PI()))))</f>
        <v>1454.0395729264933</v>
      </c>
      <c r="H103" s="16">
        <f>IF('Leistung u. Drehmoment'!H1="",G103,IF(($H$7=0),0,('Leistung u. Drehmoment'!H$4*$D$7/$C$7*$E$7*$H$7*$C$8*$E$8*$H$8/($F$4/2/PI()))))</f>
        <v>1485.197563774918</v>
      </c>
      <c r="I103" s="16">
        <f>IF('Leistung u. Drehmoment'!I1="",H103,IF(($H$7=0),0,('Leistung u. Drehmoment'!I$4*$D$7/$C$7*$E$7*$H$7*$C$8*$E$8*$H$8/($F$4/2/PI()))))</f>
        <v>1476.4094125099775</v>
      </c>
      <c r="J103" s="16">
        <f>IF('Leistung u. Drehmoment'!J1="",I103,IF(($H$7=0),0,('Leistung u. Drehmoment'!J$4*$D$7/$C$7*$E$7*$H$7*$C$8*$E$8*$H$8/($F$4/2/PI()))))</f>
        <v>1419.914154378218</v>
      </c>
      <c r="K103" s="16">
        <f>IF('Leistung u. Drehmoment'!K1="",J103,IF(($H$7=0),0,('Leistung u. Drehmoment'!K$4*$D$7/$C$7*$E$7*$H$7*$C$8*$E$8*$H$8/($F$4/2/PI()))))</f>
        <v>1310.020415227107</v>
      </c>
      <c r="L103" s="16">
        <f>IF('Leistung u. Drehmoment'!L1="",K103,IF(($H$7=0),0,('Leistung u. Drehmoment'!L$4*$D$7/$C$7*$E$7*$H$7*$C$8*$E$8*$H$8/($F$4/2/PI()))))</f>
        <v>1142.4596644422447</v>
      </c>
      <c r="M103" s="17">
        <f>IF('Leistung u. Drehmoment'!M1="",L103,IF(($H$7=0),0,('Leistung u. Drehmoment'!M$4*$D$7/$C$7*$E$7*$H$7*$C$8*$E$8*$H$8/($F$4/2/PI()))))</f>
        <v>913.9677315537957</v>
      </c>
    </row>
    <row r="104" spans="1:13" ht="12.75">
      <c r="A104" s="207" t="s">
        <v>14</v>
      </c>
      <c r="B104" s="206"/>
      <c r="C104" s="16">
        <f>IF('Leistung u. Drehmoment'!C1="",0,IF(($I$7&lt;=0),0,(3.6*$F$4*'Leistung u. Drehmoment'!C$1/($D$7/$C$7*$E$7*$I$7*60))))</f>
        <v>53.49379356648663</v>
      </c>
      <c r="D104" s="16">
        <f>IF('Leistung u. Drehmoment'!D1="",C104,IF(($I$7&lt;=0),0,(3.6*$F$4*'Leistung u. Drehmoment'!D$1/($D$7/$C$7*$E$7*$I$7*60))))</f>
        <v>71.32505808864885</v>
      </c>
      <c r="E104" s="16">
        <f>IF('Leistung u. Drehmoment'!E1="",D104,IF(($I$7&lt;=0),0,(3.6*$F$4*'Leistung u. Drehmoment'!E$1/($D$7/$C$7*$E$7*$I$7*60))))</f>
        <v>80.24069034972995</v>
      </c>
      <c r="F104" s="16">
        <f>IF('Leistung u. Drehmoment'!F1="",E104,IF(($I$7&lt;=0),0,(3.6*$F$4*'Leistung u. Drehmoment'!F$1/($D$7/$C$7*$E$7*$I$7*60))))</f>
        <v>89.15632261081105</v>
      </c>
      <c r="G104" s="16">
        <f>IF('Leistung u. Drehmoment'!G1="",F104,IF(($I$7&lt;=0),0,(3.6*$F$4*'Leistung u. Drehmoment'!G$1/($D$7/$C$7*$E$7*$I$7*60))))</f>
        <v>98.07195487189215</v>
      </c>
      <c r="H104" s="16">
        <f>IF('Leistung u. Drehmoment'!H1="",G104,IF(($I$7&lt;=0),0,(3.6*$F$4*'Leistung u. Drehmoment'!H$1/($D$7/$C$7*$E$7*$I$7*60))))</f>
        <v>106.98758713297326</v>
      </c>
      <c r="I104" s="16">
        <f>IF('Leistung u. Drehmoment'!I1="",H104,IF(($I$7&lt;=0),0,(3.6*$F$4*'Leistung u. Drehmoment'!I$1/($D$7/$C$7*$E$7*$I$7*60))))</f>
        <v>115.90321939405435</v>
      </c>
      <c r="J104" s="16">
        <f>IF('Leistung u. Drehmoment'!J1="",I104,IF(($I$7&lt;=0),0,(3.6*$F$4*'Leistung u. Drehmoment'!J$1/($D$7/$C$7*$E$7*$I$7*60))))</f>
        <v>124.81885165513546</v>
      </c>
      <c r="K104" s="16">
        <f>IF('Leistung u. Drehmoment'!K1="",J104,IF(($I$7&lt;=0),0,(3.6*$F$4*'Leistung u. Drehmoment'!K$1/($D$7/$C$7*$E$7*$I$7*60))))</f>
        <v>133.73448391621656</v>
      </c>
      <c r="L104" s="16">
        <f>IF('Leistung u. Drehmoment'!L1="",K104,IF(($I$7&lt;=0),0,(3.6*$F$4*'Leistung u. Drehmoment'!L$1/($D$7/$C$7*$E$7*$I$7*60))))</f>
        <v>142.6501161772977</v>
      </c>
      <c r="M104" s="17">
        <f>IF('Leistung u. Drehmoment'!M1="",L104,IF(($I$7&lt;=0),0,(3.6*$F$4*'Leistung u. Drehmoment'!M$1/($D$7/$C$7*$E$7*$I$7*60))))</f>
        <v>151.56574843837876</v>
      </c>
    </row>
    <row r="105" spans="1:13" ht="12.75">
      <c r="A105" s="207" t="s">
        <v>3</v>
      </c>
      <c r="B105" s="206"/>
      <c r="C105" s="16">
        <f>IF('Leistung u. Drehmoment'!C1="",0,IF(($I$7=0),0,('Leistung u. Drehmoment'!C$4*$D$7/$C$7*$E$7*$C$8*$E$8*$I$7*$I$8/($F$4/2/PI()))))</f>
        <v>682.2116281955118</v>
      </c>
      <c r="D105" s="16">
        <f>IF('Leistung u. Drehmoment'!D1="",C105,IF(($I$7=0),0,('Leistung u. Drehmoment'!D$4*$D$7/$C$7*$E$7*$C$8*$E$8*$I$7*$I$8/($F$4/2/PI()))))</f>
        <v>930.2885839029706</v>
      </c>
      <c r="E105" s="16">
        <f>IF('Leistung u. Drehmoment'!E1="",D105,IF(($I$7=0),0,('Leistung u. Drehmoment'!E$4*$D$7/$C$7*$E$7*$C$8*$E$8*$I$7*$I$8/($F$4/2/PI()))))</f>
        <v>1033.653982114412</v>
      </c>
      <c r="F105" s="16">
        <f>IF('Leistung u. Drehmoment'!F1="",E105,IF(($I$7=0),0,('Leistung u. Drehmoment'!F$4*$D$7/$C$7*$E$7*$C$8*$E$8*$I$7*$I$8/($F$4/2/PI()))))</f>
        <v>1116.3463006835648</v>
      </c>
      <c r="G105" s="16">
        <f>IF('Leistung u. Drehmoment'!G1="",F105,IF(($I$7=0),0,('Leistung u. Drehmoment'!G$4*$D$7/$C$7*$E$7*$C$8*$E$8*$I$7*$I$8/($F$4/2/PI()))))</f>
        <v>1184.0036522401444</v>
      </c>
      <c r="H105" s="16">
        <f>IF('Leistung u. Drehmoment'!H1="",G105,IF(($I$7=0),0,('Leistung u. Drehmoment'!H$4*$D$7/$C$7*$E$7*$C$8*$E$8*$I$7*$I$8/($F$4/2/PI()))))</f>
        <v>1209.3751590738616</v>
      </c>
      <c r="I105" s="16">
        <f>IF('Leistung u. Drehmoment'!I1="",H105,IF(($I$7=0),0,('Leistung u. Drehmoment'!I$4*$D$7/$C$7*$E$7*$C$8*$E$8*$I$7*$I$8/($F$4/2/PI()))))</f>
        <v>1202.219093043839</v>
      </c>
      <c r="J105" s="16">
        <f>IF('Leistung u. Drehmoment'!J1="",I105,IF(($I$7=0),0,('Leistung u. Drehmoment'!J$4*$D$7/$C$7*$E$7*$C$8*$E$8*$I$7*$I$8/($F$4/2/PI()))))</f>
        <v>1156.2158114222632</v>
      </c>
      <c r="K105" s="16">
        <f>IF('Leistung u. Drehmoment'!K1="",J105,IF(($I$7=0),0,('Leistung u. Drehmoment'!K$4*$D$7/$C$7*$E$7*$C$8*$E$8*$I$7*$I$8/($F$4/2/PI()))))</f>
        <v>1066.7309095420728</v>
      </c>
      <c r="L105" s="16">
        <f>IF('Leistung u. Drehmoment'!L1="",K105,IF(($I$7=0),0,('Leistung u. Drehmoment'!L$4*$D$7/$C$7*$E$7*$C$8*$E$8*$I$7*$I$8/($F$4/2/PI()))))</f>
        <v>930.2885839029706</v>
      </c>
      <c r="M105" s="17">
        <f>IF('Leistung u. Drehmoment'!M1="",L105,IF(($I$7=0),0,('Leistung u. Drehmoment'!M$4*$D$7/$C$7*$E$7*$C$8*$E$8*$I$7*$I$8/($F$4/2/PI()))))</f>
        <v>744.2308671223765</v>
      </c>
    </row>
    <row r="106" spans="1:13" ht="12.75">
      <c r="A106" s="207" t="s">
        <v>15</v>
      </c>
      <c r="B106" s="206"/>
      <c r="C106" s="16">
        <f>IF('Leistung u. Drehmoment'!C1="",0,IF(($J$7&lt;=0),0,(3.6*$F$4*'Leistung u. Drehmoment'!C$1/($D$7/$C$7*$E$7*$J$7*60))))</f>
        <v>62.112238085531686</v>
      </c>
      <c r="D106" s="16">
        <f>IF('Leistung u. Drehmoment'!D1="",C106,IF(($J$7&lt;=0),0,(3.6*$F$4*'Leistung u. Drehmoment'!D$1/($D$7/$C$7*$E$7*$J$7*60))))</f>
        <v>82.81631744737558</v>
      </c>
      <c r="E106" s="16">
        <f>IF('Leistung u. Drehmoment'!E1="",D106,IF(($J$7&lt;=0),0,(3.6*$F$4*'Leistung u. Drehmoment'!E$1/($D$7/$C$7*$E$7*$J$7*60))))</f>
        <v>93.16835712829753</v>
      </c>
      <c r="F106" s="16">
        <f>IF('Leistung u. Drehmoment'!F1="",E106,IF(($J$7&lt;=0),0,(3.6*$F$4*'Leistung u. Drehmoment'!F$1/($D$7/$C$7*$E$7*$J$7*60))))</f>
        <v>103.52039680921948</v>
      </c>
      <c r="G106" s="16">
        <f>IF('Leistung u. Drehmoment'!G1="",F106,IF(($J$7&lt;=0),0,(3.6*$F$4*'Leistung u. Drehmoment'!G$1/($D$7/$C$7*$E$7*$J$7*60))))</f>
        <v>113.87243649014141</v>
      </c>
      <c r="H106" s="16">
        <f>IF('Leistung u. Drehmoment'!H1="",G106,IF(($J$7&lt;=0),0,(3.6*$F$4*'Leistung u. Drehmoment'!H$1/($D$7/$C$7*$E$7*$J$7*60))))</f>
        <v>124.22447617106337</v>
      </c>
      <c r="I106" s="16">
        <f>IF('Leistung u. Drehmoment'!I1="",H106,IF(($J$7&lt;=0),0,(3.6*$F$4*'Leistung u. Drehmoment'!I$1/($D$7/$C$7*$E$7*$J$7*60))))</f>
        <v>134.5765158519853</v>
      </c>
      <c r="J106" s="16">
        <f>IF('Leistung u. Drehmoment'!J1="",I106,IF(($J$7&lt;=0),0,(3.6*$F$4*'Leistung u. Drehmoment'!J$1/($D$7/$C$7*$E$7*$J$7*60))))</f>
        <v>144.92855553290727</v>
      </c>
      <c r="K106" s="16">
        <f>IF('Leistung u. Drehmoment'!K1="",J106,IF(($J$7&lt;=0),0,(3.6*$F$4*'Leistung u. Drehmoment'!K$1/($D$7/$C$7*$E$7*$J$7*60))))</f>
        <v>155.2805952138292</v>
      </c>
      <c r="L106" s="16">
        <f>IF('Leistung u. Drehmoment'!L1="",K106,IF(($J$7&lt;=0),0,(3.6*$F$4*'Leistung u. Drehmoment'!L$1/($D$7/$C$7*$E$7*$J$7*60))))</f>
        <v>165.63263489475116</v>
      </c>
      <c r="M106" s="17">
        <f>IF('Leistung u. Drehmoment'!M1="",L106,IF(($J$7&lt;=0),0,(3.6*$F$4*'Leistung u. Drehmoment'!M$1/($D$7/$C$7*$E$7*$J$7*60))))</f>
        <v>175.9846745756731</v>
      </c>
    </row>
    <row r="107" spans="1:13" ht="12.75">
      <c r="A107" s="207" t="s">
        <v>4</v>
      </c>
      <c r="B107" s="206"/>
      <c r="C107" s="16">
        <f>IF('Leistung u. Drehmoment'!C1="",0,IF(($J$7=0),0,('Leistung u. Drehmoment'!C$4*$D$7/$C$7*$E$7*$C$8*$E$8*$J$7*$J$8/($F$4/2/PI()))))</f>
        <v>587.5506845702972</v>
      </c>
      <c r="D107" s="16">
        <f>IF('Leistung u. Drehmoment'!D1="",C107,IF(($J$7=0),0,('Leistung u. Drehmoment'!D$4*$D$7/$C$7*$E$7*$C$8*$E$8*$J$7*$J$8/($F$4/2/PI()))))</f>
        <v>801.2054789594963</v>
      </c>
      <c r="E107" s="16">
        <f>IF('Leistung u. Drehmoment'!E1="",D107,IF(($J$7=0),0,('Leistung u. Drehmoment'!E$4*$D$7/$C$7*$E$7*$C$8*$E$8*$J$7*$J$8/($F$4/2/PI()))))</f>
        <v>890.228309954996</v>
      </c>
      <c r="F107" s="16">
        <f>IF('Leistung u. Drehmoment'!F1="",E107,IF(($J$7=0),0,('Leistung u. Drehmoment'!F$4*$D$7/$C$7*$E$7*$C$8*$E$8*$J$7*$J$8/($F$4/2/PI()))))</f>
        <v>961.4465747513956</v>
      </c>
      <c r="G107" s="16">
        <f>IF('Leistung u. Drehmoment'!G1="",F107,IF(($J$7=0),0,('Leistung u. Drehmoment'!G$4*$D$7/$C$7*$E$7*$C$8*$E$8*$J$7*$J$8/($F$4/2/PI()))))</f>
        <v>1019.716064130268</v>
      </c>
      <c r="H107" s="16">
        <f>IF('Leistung u. Drehmoment'!H1="",G107,IF(($J$7=0),0,('Leistung u. Drehmoment'!H$4*$D$7/$C$7*$E$7*$C$8*$E$8*$J$7*$J$8/($F$4/2/PI()))))</f>
        <v>1041.567122647345</v>
      </c>
      <c r="I107" s="16">
        <f>IF('Leistung u. Drehmoment'!I1="",H107,IF(($J$7=0),0,('Leistung u. Drehmoment'!I$4*$D$7/$C$7*$E$7*$C$8*$E$8*$J$7*$J$8/($F$4/2/PI()))))</f>
        <v>1035.404003578426</v>
      </c>
      <c r="J107" s="16">
        <f>IF('Leistung u. Drehmoment'!J1="",I107,IF(($J$7=0),0,('Leistung u. Drehmoment'!J$4*$D$7/$C$7*$E$7*$C$8*$E$8*$J$7*$J$8/($F$4/2/PI()))))</f>
        <v>995.7839524210881</v>
      </c>
      <c r="K107" s="16">
        <f>IF('Leistung u. Drehmoment'!K1="",J107,IF(($J$7=0),0,('Leistung u. Drehmoment'!K$4*$D$7/$C$7*$E$7*$C$8*$E$8*$J$7*$J$8/($F$4/2/PI()))))</f>
        <v>918.7156158735555</v>
      </c>
      <c r="L107" s="16">
        <f>IF('Leistung u. Drehmoment'!L1="",K107,IF(($J$7=0),0,('Leistung u. Drehmoment'!L$4*$D$7/$C$7*$E$7*$C$8*$E$8*$J$7*$J$8/($F$4/2/PI()))))</f>
        <v>801.2054789594963</v>
      </c>
      <c r="M107" s="17">
        <f>IF('Leistung u. Drehmoment'!M1="",L107,IF(($J$7=0),0,('Leistung u. Drehmoment'!M$4*$D$7/$C$7*$E$7*$C$8*$E$8*$J$7*$J$8/($F$4/2/PI()))))</f>
        <v>640.964383167597</v>
      </c>
    </row>
    <row r="108" spans="1:13" ht="12.75">
      <c r="A108" s="207" t="s">
        <v>16</v>
      </c>
      <c r="B108" s="206"/>
      <c r="C108" s="16">
        <f>IF('Leistung u. Drehmoment'!C1="",0,IF(($K$7&lt;=0),0,(3.6*$F$4*'Leistung u. Drehmoment'!C$1/($D$7/$C$7*$E$7*$K$7*60))))</f>
        <v>0</v>
      </c>
      <c r="D108" s="16">
        <f>IF('Leistung u. Drehmoment'!D1="",C108,IF(($K$7&lt;=0),0,(3.6*$F$4*'Leistung u. Drehmoment'!D$1/($D$7/$C$7*$E$7*$K$7*60))))</f>
        <v>0</v>
      </c>
      <c r="E108" s="16">
        <f>IF('Leistung u. Drehmoment'!E1="",D108,IF(($K$7&lt;=0),0,(3.6*$F$4*'Leistung u. Drehmoment'!E$1/($D$7/$C$7*$E$7*$K$7*60))))</f>
        <v>0</v>
      </c>
      <c r="F108" s="16">
        <f>IF('Leistung u. Drehmoment'!F1="",E108,IF(($K$7&lt;=0),0,(3.6*$F$4*'Leistung u. Drehmoment'!F$1/($D$7/$C$7*$E$7*$K$7*60))))</f>
        <v>0</v>
      </c>
      <c r="G108" s="16">
        <f>IF('Leistung u. Drehmoment'!G1="",F108,IF(($K$7&lt;=0),0,(3.6*$F$4*'Leistung u. Drehmoment'!G$1/($D$7/$C$7*$E$7*$K$7*60))))</f>
        <v>0</v>
      </c>
      <c r="H108" s="16">
        <f>IF('Leistung u. Drehmoment'!H1="",G108,IF(($K$7&lt;=0),0,(3.6*$F$4*'Leistung u. Drehmoment'!H$1/($D$7/$C$7*$E$7*$K$7*60))))</f>
        <v>0</v>
      </c>
      <c r="I108" s="16">
        <f>IF('Leistung u. Drehmoment'!I1="",H108,IF(($K$7&lt;=0),0,(3.6*$F$4*'Leistung u. Drehmoment'!I$1/($D$7/$C$7*$E$7*$K$7*60))))</f>
        <v>0</v>
      </c>
      <c r="J108" s="16">
        <f>IF('Leistung u. Drehmoment'!J1="",I108,IF(($K$7&lt;=0),0,(3.6*$F$4*'Leistung u. Drehmoment'!J$1/($D$7/$C$7*$E$7*$K$7*60))))</f>
        <v>0</v>
      </c>
      <c r="K108" s="16">
        <f>IF('Leistung u. Drehmoment'!K1="",J108,IF(($K$7&lt;=0),0,(3.6*$F$4*'Leistung u. Drehmoment'!K$1/($D$7/$C$7*$E$7*$K$7*60))))</f>
        <v>0</v>
      </c>
      <c r="L108" s="16">
        <f>IF('Leistung u. Drehmoment'!L1="",K108,IF(($K$7&lt;=0),0,(3.6*$F$4*'Leistung u. Drehmoment'!L$1/($D$7/$C$7*$E$7*$K$7*60))))</f>
        <v>0</v>
      </c>
      <c r="M108" s="17">
        <f>IF('Leistung u. Drehmoment'!M1="",L108,IF(($K$7&lt;=0),0,(3.6*$F$4*'Leistung u. Drehmoment'!M$1/($D$7/$C$7*$E$7*$K$7*60))))</f>
        <v>0</v>
      </c>
    </row>
    <row r="109" spans="1:13" ht="12.75">
      <c r="A109" s="207" t="s">
        <v>17</v>
      </c>
      <c r="B109" s="206"/>
      <c r="C109" s="16">
        <f>IF('Leistung u. Drehmoment'!C1="",0,IF(($K$7=0),0,('Leistung u. Drehmoment'!C$4*$D$7/$C$7*$E$7*$K$7*$C$8*$E$8*$K$8/($F$4/2/PI()))))</f>
        <v>0</v>
      </c>
      <c r="D109" s="16">
        <f>IF('Leistung u. Drehmoment'!D1="",C109,IF(($K$7=0),0,('Leistung u. Drehmoment'!D$4*$D$7/$C$7*$E$7*$K$7*$C$8*$E$8*$K$8/($F$4/2/PI()))))</f>
        <v>0</v>
      </c>
      <c r="E109" s="16">
        <f>IF('Leistung u. Drehmoment'!E1="",D109,IF(($K$7=0),0,('Leistung u. Drehmoment'!E$4*$D$7/$C$7*$E$7*$K$7*$C$8*$E$8*$K$8/($F$4/2/PI()))))</f>
        <v>0</v>
      </c>
      <c r="F109" s="16">
        <f>IF('Leistung u. Drehmoment'!F1="",E109,IF(($K$7=0),0,('Leistung u. Drehmoment'!F$4*$D$7/$C$7*$E$7*$K$7*$C$8*$E$8*$K$8/($F$4/2/PI()))))</f>
        <v>0</v>
      </c>
      <c r="G109" s="16">
        <f>IF('Leistung u. Drehmoment'!G1="",F109,IF(($K$7=0),0,('Leistung u. Drehmoment'!G$4*$D$7/$C$7*$E$7*$K$7*$C$8*$E$8*$K$8/($F$4/2/PI()))))</f>
        <v>0</v>
      </c>
      <c r="H109" s="16">
        <f>IF('Leistung u. Drehmoment'!H1="",G109,IF(($K$7=0),0,('Leistung u. Drehmoment'!H$4*$D$7/$C$7*$E$7*$K$7*$C$8*$E$8*$K$8/($F$4/2/PI()))))</f>
        <v>0</v>
      </c>
      <c r="I109" s="16">
        <f>IF('Leistung u. Drehmoment'!I1="",H109,IF(($K$7=0),0,('Leistung u. Drehmoment'!I$4*$D$7/$C$7*$E$7*$K$7*$C$8*$E$8*$K$8/($F$4/2/PI()))))</f>
        <v>0</v>
      </c>
      <c r="J109" s="16">
        <f>IF('Leistung u. Drehmoment'!J1="",I109,IF(($K$7=0),0,('Leistung u. Drehmoment'!J$4*$D$7/$C$7*$E$7*$K$7*$C$8*$E$8*$K$8/($F$4/2/PI()))))</f>
        <v>0</v>
      </c>
      <c r="K109" s="16">
        <f>IF('Leistung u. Drehmoment'!K1="",J109,IF(($K$7=0),0,('Leistung u. Drehmoment'!K$4*$D$7/$C$7*$E$7*$K$7*$C$8*$E$8*$K$8/($F$4/2/PI()))))</f>
        <v>0</v>
      </c>
      <c r="L109" s="16">
        <f>IF('Leistung u. Drehmoment'!L1="",K109,IF(($K$7=0),0,('Leistung u. Drehmoment'!L$4*$D$7/$C$7*$E$7*$K$7*$C$8*$E$8*$K$8/($F$4/2/PI()))))</f>
        <v>0</v>
      </c>
      <c r="M109" s="17">
        <f>IF('Leistung u. Drehmoment'!M1="",L109,IF(($K$7=0),0,('Leistung u. Drehmoment'!M$4*$D$7/$C$7*$E$7*$K$7*$C$8*$E$8*$K$8/($F$4/2/PI()))))</f>
        <v>0</v>
      </c>
    </row>
    <row r="110" spans="1:13" ht="12.75">
      <c r="A110" s="207" t="s">
        <v>33</v>
      </c>
      <c r="B110" s="206"/>
      <c r="C110" s="16">
        <f>IF('Leistung u. Drehmoment'!C1="",0,IF(($L$7&lt;=0),0,(3.6*$F$4*'Leistung u. Drehmoment'!C$1/($D$7/$C$7*$E$7*$L$7*60))))</f>
        <v>0</v>
      </c>
      <c r="D110" s="16">
        <f>IF('Leistung u. Drehmoment'!D1="",C110,IF(($L$7&lt;=0),0,(3.6*$F$4*'Leistung u. Drehmoment'!D$1/($D$7/$C$7*$E$7*$L$7*60))))</f>
        <v>0</v>
      </c>
      <c r="E110" s="16">
        <f>IF('Leistung u. Drehmoment'!E1="",D110,IF(($L$7&lt;=0),0,(3.6*$F$4*'Leistung u. Drehmoment'!E$1/($D$7/$C$7*$E$7*$L$7*60))))</f>
        <v>0</v>
      </c>
      <c r="F110" s="16">
        <f>IF('Leistung u. Drehmoment'!F1="",E110,IF(($L$7&lt;=0),0,(3.6*$F$4*'Leistung u. Drehmoment'!F$1/($D$7/$C$7*$E$7*$L$7*60))))</f>
        <v>0</v>
      </c>
      <c r="G110" s="16">
        <f>IF('Leistung u. Drehmoment'!G1="",F110,IF(($L$7&lt;=0),0,(3.6*$F$4*'Leistung u. Drehmoment'!G$1/($D$7/$C$7*$E$7*$L$7*60))))</f>
        <v>0</v>
      </c>
      <c r="H110" s="16">
        <f>IF('Leistung u. Drehmoment'!H1="",G110,IF(($L$7&lt;=0),0,(3.6*$F$4*'Leistung u. Drehmoment'!H$1/($D$7/$C$7*$E$7*$L$7*60))))</f>
        <v>0</v>
      </c>
      <c r="I110" s="16">
        <f>IF('Leistung u. Drehmoment'!I1="",H110,IF(($L$7&lt;=0),0,(3.6*$F$4*'Leistung u. Drehmoment'!I$1/($D$7/$C$7*$E$7*$L$7*60))))</f>
        <v>0</v>
      </c>
      <c r="J110" s="16">
        <f>IF('Leistung u. Drehmoment'!J1="",I110,IF(($L$7&lt;=0),0,(3.6*$F$4*'Leistung u. Drehmoment'!J$1/($D$7/$C$7*$E$7*$L$7*60))))</f>
        <v>0</v>
      </c>
      <c r="K110" s="16">
        <f>IF('Leistung u. Drehmoment'!K1="",J110,IF(($L$7&lt;=0),0,(3.6*$F$4*'Leistung u. Drehmoment'!K$1/($D$7/$C$7*$E$7*$L$7*60))))</f>
        <v>0</v>
      </c>
      <c r="L110" s="16">
        <f>IF('Leistung u. Drehmoment'!L1="",K110,IF(($L$7&lt;=0),0,(3.6*$F$4*'Leistung u. Drehmoment'!L$1/($D$7/$C$7*$E$7*$L$7*60))))</f>
        <v>0</v>
      </c>
      <c r="M110" s="17">
        <f>IF('Leistung u. Drehmoment'!M1="",L110,IF(($L$7&lt;=0),0,(3.6*$F$4*'Leistung u. Drehmoment'!M$1/($D$7/$C$7*$E$7*$L$7*60))))</f>
        <v>0</v>
      </c>
    </row>
    <row r="111" spans="1:13" ht="13.5" thickBot="1">
      <c r="A111" s="214" t="s">
        <v>34</v>
      </c>
      <c r="B111" s="215"/>
      <c r="C111" s="18">
        <f>IF('Leistung u. Drehmoment'!C1="",0,IF(($L$7=0),0,('Leistung u. Drehmoment'!C$4*$D$7/$C$7*$E$7*$C$8*$E$8*$L$7*$L$8/($F$4/2/PI()))))</f>
        <v>0</v>
      </c>
      <c r="D111" s="18">
        <f>IF('Leistung u. Drehmoment'!D1="",C111,IF(($L$7=0),0,('Leistung u. Drehmoment'!D$4*$D$7/$C$7*$E$7*$C$8*$E$8*$L$7*$L$8/($F$4/2/PI()))))</f>
        <v>0</v>
      </c>
      <c r="E111" s="18">
        <f>IF('Leistung u. Drehmoment'!E1="",D111,IF(($L$7=0),0,('Leistung u. Drehmoment'!E$4*$D$7/$C$7*$E$7*$C$8*$E$8*$L$7*$L$8/($F$4/2/PI()))))</f>
        <v>0</v>
      </c>
      <c r="F111" s="18">
        <f>IF('Leistung u. Drehmoment'!F1="",E111,IF(($L$7=0),0,('Leistung u. Drehmoment'!F$4*$D$7/$C$7*$E$7*$C$8*$E$8*$L$7*$L$8/($F$4/2/PI()))))</f>
        <v>0</v>
      </c>
      <c r="G111" s="18">
        <f>IF('Leistung u. Drehmoment'!G1="",F111,IF(($L$7=0),0,('Leistung u. Drehmoment'!G$4*$D$7/$C$7*$E$7*$C$8*$E$8*$L$7*$L$8/($F$4/2/PI()))))</f>
        <v>0</v>
      </c>
      <c r="H111" s="18">
        <f>IF('Leistung u. Drehmoment'!H1="",G111,IF(($L$7=0),0,('Leistung u. Drehmoment'!H$4*$D$7/$C$7*$E$7*$C$8*$E$8*$L$7*$L$8/($F$4/2/PI()))))</f>
        <v>0</v>
      </c>
      <c r="I111" s="18">
        <f>IF('Leistung u. Drehmoment'!I1="",H111,IF(($L$7=0),0,('Leistung u. Drehmoment'!I$4*$D$7/$C$7*$E$7*$C$8*$E$8*$L$7*$L$8/($F$4/2/PI()))))</f>
        <v>0</v>
      </c>
      <c r="J111" s="18">
        <f>IF('Leistung u. Drehmoment'!J1="",I111,IF(($L$7=0),0,('Leistung u. Drehmoment'!J$4*$D$7/$C$7*$E$7*$C$8*$E$8*$L$7*$L$8/($F$4/2/PI()))))</f>
        <v>0</v>
      </c>
      <c r="K111" s="18">
        <f>IF('Leistung u. Drehmoment'!K1="",J111,IF(($L$7=0),0,('Leistung u. Drehmoment'!K$4*$D$7/$C$7*$E$7*$C$8*$E$8*$L$7*$L$8/($F$4/2/PI()))))</f>
        <v>0</v>
      </c>
      <c r="L111" s="18">
        <f>IF('Leistung u. Drehmoment'!L1="",K111,IF(($L$7=0),0,('Leistung u. Drehmoment'!L$4*$D$7/$C$7*$E$7*$C$8*$E$8*$L$7*$L$8/($F$4/2/PI()))))</f>
        <v>0</v>
      </c>
      <c r="M111" s="19">
        <f>IF('Leistung u. Drehmoment'!M1="",L111,IF(($L$7=0),0,('Leistung u. Drehmoment'!M$4*$D$7/$C$7*$E$7*$C$8*$E$8*$L$7*$L$8/($F$4/2/PI()))))</f>
        <v>0</v>
      </c>
    </row>
    <row r="112" spans="1:15" ht="13.5" thickBot="1">
      <c r="A112" s="12"/>
      <c r="B112" s="12"/>
      <c r="C112" s="12"/>
      <c r="D112" s="12"/>
      <c r="E112" s="11"/>
      <c r="F112" s="11"/>
      <c r="G112" s="11"/>
      <c r="H112" s="11"/>
      <c r="I112" s="11"/>
      <c r="J112" s="11"/>
      <c r="K112" s="11"/>
      <c r="L112" s="11"/>
      <c r="M112" s="11"/>
      <c r="N112" s="11"/>
      <c r="O112" s="11"/>
    </row>
    <row r="113" spans="1:15" ht="15.75">
      <c r="A113" s="20"/>
      <c r="B113" s="21" t="s">
        <v>27</v>
      </c>
      <c r="C113" s="21" t="s">
        <v>28</v>
      </c>
      <c r="D113" s="22" t="s">
        <v>29</v>
      </c>
      <c r="E113" s="22"/>
      <c r="F113" s="256" t="s">
        <v>75</v>
      </c>
      <c r="G113" s="256"/>
      <c r="H113" s="160" t="s">
        <v>74</v>
      </c>
      <c r="I113" s="161"/>
      <c r="J113" s="20" t="s">
        <v>27</v>
      </c>
      <c r="K113" s="21" t="s">
        <v>28</v>
      </c>
      <c r="L113" s="21" t="s">
        <v>39</v>
      </c>
      <c r="M113" s="54" t="s">
        <v>40</v>
      </c>
      <c r="O113" s="11"/>
    </row>
    <row r="114" spans="1:15" ht="12.75">
      <c r="A114" s="23" t="s">
        <v>8</v>
      </c>
      <c r="B114" s="16">
        <v>0</v>
      </c>
      <c r="C114" s="16">
        <f>M8</f>
        <v>8500</v>
      </c>
      <c r="D114" s="16">
        <v>0</v>
      </c>
      <c r="E114" s="16">
        <f>IF((F$7&lt;=0),"",(3.6*$F$4*$C$114/($D$7/$C$7*$E$7*F$7*60)))</f>
        <v>57.59498440658393</v>
      </c>
      <c r="F114" s="16">
        <v>0</v>
      </c>
      <c r="G114" s="16">
        <f>F68</f>
        <v>8500</v>
      </c>
      <c r="H114" s="162">
        <v>0</v>
      </c>
      <c r="I114" s="163">
        <f>F69</f>
        <v>57.59498440658393</v>
      </c>
      <c r="J114" s="55">
        <v>1000</v>
      </c>
      <c r="K114" s="56">
        <f>MAX('Leistung u. Drehmoment'!C1:M1)</f>
        <v>8500</v>
      </c>
      <c r="L114" s="57">
        <f>IF((F$7&lt;=0),"",(3.6*$F$4*J114/($D$7/$C$7*$E$7*F$7*60)))</f>
        <v>6.77588051842164</v>
      </c>
      <c r="M114" s="58">
        <f>IF((F$7&lt;=0),"",(3.6*$F$4*K114/($D$7/$C$7*$E$7*F$7*60)))</f>
        <v>57.59498440658393</v>
      </c>
      <c r="O114" s="13"/>
    </row>
    <row r="115" spans="1:15" ht="12.75">
      <c r="A115" s="23" t="s">
        <v>9</v>
      </c>
      <c r="B115" s="16">
        <f>IF(($G$7&lt;=0),"",E114*($D$7/$C$7*$E$7*$G$7*60)/(3.6*$F$4))</f>
        <v>5440</v>
      </c>
      <c r="C115" s="16">
        <f>IF((G$7&lt;=0),"",$C$114)</f>
        <v>8500</v>
      </c>
      <c r="D115" s="16">
        <f aca="true" t="shared" si="3" ref="D115:D120">$E114</f>
        <v>57.59498440658393</v>
      </c>
      <c r="E115" s="16">
        <f>IF(($G$7&lt;=0),"",(3.6*$F$4*$C$114/($D$7/$C$7*$E$7*$G$7*60)))</f>
        <v>89.99216313528738</v>
      </c>
      <c r="F115" s="16">
        <f>IF(($G$7&lt;=0),"",I114*($D$7/$C$7*$E$7*$G$7*60)/(3.6*$F$4))</f>
        <v>5440</v>
      </c>
      <c r="G115" s="16">
        <f>G68</f>
        <v>8122.929536664988</v>
      </c>
      <c r="H115" s="162">
        <f>F69</f>
        <v>57.59498440658393</v>
      </c>
      <c r="I115" s="164">
        <f>G69</f>
        <v>86</v>
      </c>
      <c r="J115" s="55">
        <f>IF((G$7&lt;=0),"",1000)</f>
        <v>1000</v>
      </c>
      <c r="K115" s="57">
        <f>IF((G$7&lt;=0),"",MAX('Leistung u. Drehmoment'!C1:M1))</f>
        <v>8500</v>
      </c>
      <c r="L115" s="57">
        <f>IF((G$7&lt;=0),"",(3.6*$F$4*J115/($D$7/$C$7*$E$7*G$7*60)))</f>
        <v>10.587313310033812</v>
      </c>
      <c r="M115" s="58">
        <f>IF((G$7&lt;=0),"",(3.6*$F$4*K115/($D$7/$C$7*$E$7*G$7*60)))</f>
        <v>89.99216313528738</v>
      </c>
      <c r="O115" s="13"/>
    </row>
    <row r="116" spans="1:15" ht="12.75">
      <c r="A116" s="23" t="s">
        <v>5</v>
      </c>
      <c r="B116" s="16">
        <f>IF(($H$7&lt;=0),"",E115*($D$7/$C$7*$E$7*$H$7*60)/(3.6*F$4))</f>
        <v>6197.916666666667</v>
      </c>
      <c r="C116" s="16">
        <f>IF((H$7&lt;=0),"",$C$114)</f>
        <v>8500</v>
      </c>
      <c r="D116" s="16">
        <f t="shared" si="3"/>
        <v>89.99216313528738</v>
      </c>
      <c r="E116" s="16">
        <f>IF(($H$7&lt;=0),"",(3.6*$F$4*$C$114/($D$7/$C$7*$E$7*$H$7*60)))</f>
        <v>123.41782372839411</v>
      </c>
      <c r="F116" s="16">
        <f>IF(($H$7&lt;=0),"",I115*($D$7/$C$7*$E$7*$H$7*60)/(3.6*F$4))</f>
        <v>5922.969453818221</v>
      </c>
      <c r="G116" s="16">
        <f>H68</f>
        <v>7782.506375365802</v>
      </c>
      <c r="H116" s="162">
        <f>G69</f>
        <v>86</v>
      </c>
      <c r="I116" s="164">
        <f>H69</f>
        <v>113</v>
      </c>
      <c r="J116" s="55">
        <f>IF((H$7&lt;=0),"",1000)</f>
        <v>1000</v>
      </c>
      <c r="K116" s="57">
        <f>IF((H$7&lt;=0),"",MAX('Leistung u. Drehmoment'!C1:M1))</f>
        <v>8500</v>
      </c>
      <c r="L116" s="57">
        <f>IF((H$7&lt;=0),"",(3.6*$F$4*J116/($D$7/$C$7*$E$7*H$7*60)))</f>
        <v>14.519743968046368</v>
      </c>
      <c r="M116" s="58">
        <f>IF((H$7&lt;=0),"",(3.6*$F$4*K116/($D$7/$C$7*$E$7*H$7*60)))</f>
        <v>123.41782372839411</v>
      </c>
      <c r="O116" s="13"/>
    </row>
    <row r="117" spans="1:15" ht="12.75">
      <c r="A117" s="23" t="s">
        <v>6</v>
      </c>
      <c r="B117" s="16">
        <f>IF(($I$7&lt;=0),"",E116*($D$7/$C$7*$E$7*$I$7*60)/(3.6*F$4))</f>
        <v>6921.42857142857</v>
      </c>
      <c r="C117" s="16">
        <f>IF((I$7&lt;=0),"",$C$114)</f>
        <v>8500</v>
      </c>
      <c r="D117" s="16">
        <f t="shared" si="3"/>
        <v>123.41782372839411</v>
      </c>
      <c r="E117" s="16">
        <f>IF(($I$7&lt;=0),"",(3.6*$F$4*$C$114/($D$7/$C$7*$E$7*$I$7*60)))</f>
        <v>151.56574843837876</v>
      </c>
      <c r="F117" s="16">
        <f>IF(($I$7&lt;=0),"",I116*($D$7/$C$7*$E$7*$I$7*60)/(3.6*F$4))</f>
        <v>6337.183762797867</v>
      </c>
      <c r="G117" s="16">
        <f>I68</f>
        <v>7627.053024252299</v>
      </c>
      <c r="H117" s="162">
        <f>H69</f>
        <v>113</v>
      </c>
      <c r="I117" s="164">
        <f>I69</f>
        <v>136</v>
      </c>
      <c r="J117" s="55">
        <f>IF((I$7&lt;=0),"",1000)</f>
        <v>1000</v>
      </c>
      <c r="K117" s="57">
        <f>IF((I$7&lt;=0),"",MAX('Leistung u. Drehmoment'!C1:M1))</f>
        <v>8500</v>
      </c>
      <c r="L117" s="57">
        <f>IF((I$7&lt;=0),"",(3.6*$F$4*J117/($D$7/$C$7*$E$7*I$7*60)))</f>
        <v>17.83126452216221</v>
      </c>
      <c r="M117" s="58">
        <f>IF((I$7&lt;=0),"",(3.6*$F$4*K117/($D$7/$C$7*$E$7*I$7*60)))</f>
        <v>151.56574843837876</v>
      </c>
      <c r="O117" s="13"/>
    </row>
    <row r="118" spans="1:15" ht="12.75">
      <c r="A118" s="23" t="s">
        <v>7</v>
      </c>
      <c r="B118" s="16">
        <f>IF(($J$7&lt;=0),"",E117*($D$7/$C$7*$E$7*$J$7*60)/(3.6*F$4))</f>
        <v>7320.574162679426</v>
      </c>
      <c r="C118" s="16">
        <f>IF((J$7&lt;=0),"",$C$114)</f>
        <v>8500</v>
      </c>
      <c r="D118" s="16">
        <f t="shared" si="3"/>
        <v>151.56574843837876</v>
      </c>
      <c r="E118" s="16">
        <f>IF(($J$7&lt;=0),"",(3.6*$F$4*$C$114/($D$7/$C$7*$E$7*$J$7*60)))</f>
        <v>175.9846745756731</v>
      </c>
      <c r="F118" s="16">
        <f>IF(($J$7&lt;=0),"",I117*($D$7/$C$7*$E$7*$J$7*60)/(3.6*F$4))</f>
        <v>6568.753800791455</v>
      </c>
      <c r="G118" s="16">
        <f>J68</f>
        <v>8500</v>
      </c>
      <c r="H118" s="162">
        <f>I69</f>
        <v>136</v>
      </c>
      <c r="I118" s="164">
        <f>J69</f>
        <v>175.9846745756731</v>
      </c>
      <c r="J118" s="55">
        <f>IF((J$7&lt;=0),"",1000)</f>
        <v>1000</v>
      </c>
      <c r="K118" s="57">
        <f>IF((J$7&lt;=0),"",MAX('Leistung u. Drehmoment'!C1:M1))</f>
        <v>8500</v>
      </c>
      <c r="L118" s="57">
        <f>IF((J$7&lt;=0),"",(3.6*$F$4*J118/($D$7/$C$7*$E$7*J$7*60)))</f>
        <v>20.704079361843895</v>
      </c>
      <c r="M118" s="58">
        <f>IF((J$7&lt;=0),"",(3.6*$F$4*K118/($D$7/$C$7*$E$7*J$7*60)))</f>
        <v>175.9846745756731</v>
      </c>
      <c r="O118" s="13"/>
    </row>
    <row r="119" spans="1:15" ht="12.75">
      <c r="A119" s="23" t="s">
        <v>10</v>
      </c>
      <c r="B119" s="16">
        <f>IF(($K$7&lt;=0),"",E118*($D$7/$C$7*$E$7*$K$7*60)/(3.6*F$4))</f>
      </c>
      <c r="C119" s="16">
        <f>IF((K$7&lt;=0),"",$C$114)</f>
      </c>
      <c r="D119" s="16">
        <f t="shared" si="3"/>
        <v>175.9846745756731</v>
      </c>
      <c r="E119" s="16">
        <f>IF(($K$7&lt;=0),"",(3.6*$F$4*$C$114/($D$7/$C$7*$E$7*$K$7*60)))</f>
      </c>
      <c r="F119" s="16">
        <f>IF(($K$7&lt;=0),"",I118*($D$7/$C$7*$E$7*$K$7*60)/(3.6*F$4))</f>
      </c>
      <c r="G119" s="16">
        <f>K68</f>
      </c>
      <c r="H119" s="162">
        <f>J69</f>
        <v>175.9846745756731</v>
      </c>
      <c r="I119" s="164">
        <f>K69</f>
      </c>
      <c r="J119" s="55">
        <f>IF((K$7&lt;=0),"",1000)</f>
      </c>
      <c r="K119" s="57">
        <f>IF((K$7&lt;=0),"",MAX('Leistung u. Drehmoment'!C1:M1))</f>
      </c>
      <c r="L119" s="57">
        <f>IF((K$7&lt;=0),"",(3.6*$F$4*J119/($D$7/$C$7*$E$7*K$7*60)))</f>
      </c>
      <c r="M119" s="58">
        <f>IF((K$7&lt;=0),"",(3.6*$F$4*K119/($D$7/$C$7*$E$7*K$7*60)))</f>
      </c>
      <c r="O119" s="13"/>
    </row>
    <row r="120" spans="1:15" ht="13.5" thickBot="1">
      <c r="A120" s="24" t="s">
        <v>32</v>
      </c>
      <c r="B120" s="18">
        <f>IF(($L$7&lt;=0),"",E119*($D$7/$C$7*$E$7*$L$7*60)/(3.6*F$4))</f>
      </c>
      <c r="C120" s="18">
        <f>IF((L$7&lt;=0),"",$C$114)</f>
      </c>
      <c r="D120" s="18">
        <f t="shared" si="3"/>
      </c>
      <c r="E120" s="18">
        <f>IF(($L$7&lt;=0),"",(3.6*$F$4*$C$114/($D$7/$C$7*$E$7*$L$7*60)))</f>
      </c>
      <c r="F120" s="18">
        <f>IF(($L$7&lt;=0),"",I119*($D$7/$C$7*$E$7*$L$7*60)/(3.6*F$4))</f>
      </c>
      <c r="G120" s="18">
        <f>L68</f>
      </c>
      <c r="H120" s="165">
        <f>K69</f>
      </c>
      <c r="I120" s="166">
        <f>L69</f>
      </c>
      <c r="J120" s="59">
        <f>IF((L$7&lt;=0),"",1000)</f>
      </c>
      <c r="K120" s="60">
        <f>IF((L$7&lt;=0),"",MAX('Leistung u. Drehmoment'!C1:M1))</f>
      </c>
      <c r="L120" s="60">
        <f>IF((L$7&lt;=0),"",(3.6*$F$4*J120/($D$7/$C$7*$E$7*L$7*60)))</f>
      </c>
      <c r="M120" s="61">
        <f>IF((L$7&lt;=0),"",(3.6*$F$4*K120/($D$7/$C$7*$E$7*L$7*60)))</f>
      </c>
      <c r="O120" s="13"/>
    </row>
    <row r="121" spans="1:15" ht="13.5" thickBot="1">
      <c r="A121" s="13"/>
      <c r="B121" s="13"/>
      <c r="C121" s="13"/>
      <c r="D121" s="13"/>
      <c r="E121" s="13"/>
      <c r="F121" s="159"/>
      <c r="G121" s="159"/>
      <c r="H121" s="13"/>
      <c r="I121" s="13"/>
      <c r="J121" s="13"/>
      <c r="K121" s="13"/>
      <c r="L121" s="13"/>
      <c r="O121" s="13"/>
    </row>
    <row r="122" spans="1:15" ht="12.75">
      <c r="A122" s="45" t="s">
        <v>35</v>
      </c>
      <c r="B122" s="49"/>
      <c r="C122" s="46">
        <f>IF(OR(O15="n",O15="N"),0,D122*E122)</f>
        <v>183.02406155870003</v>
      </c>
      <c r="D122" s="47">
        <f>P12</f>
        <v>1.04</v>
      </c>
      <c r="E122" s="48">
        <f>(MAX($M$98,$M$100,$M$102,$M$104,$M$106,$M$108,$M$110))</f>
        <v>175.9846745756731</v>
      </c>
      <c r="F122" s="49"/>
      <c r="G122" s="49"/>
      <c r="H122" s="49"/>
      <c r="I122" s="49"/>
      <c r="J122" s="49"/>
      <c r="K122" s="49"/>
      <c r="L122" s="50"/>
      <c r="O122" s="13"/>
    </row>
    <row r="123" spans="1:15" ht="12.75">
      <c r="A123" s="212" t="s">
        <v>20</v>
      </c>
      <c r="B123" s="213"/>
      <c r="C123" s="25"/>
      <c r="D123" s="79">
        <v>0</v>
      </c>
      <c r="E123" s="27">
        <f>$C122/8*1</f>
        <v>22.878007694837503</v>
      </c>
      <c r="F123" s="27">
        <f>$C122/8*2</f>
        <v>45.75601538967501</v>
      </c>
      <c r="G123" s="27">
        <f>$C122/8*3</f>
        <v>68.6340230845125</v>
      </c>
      <c r="H123" s="27">
        <f>$C122/8*4</f>
        <v>91.51203077935001</v>
      </c>
      <c r="I123" s="27">
        <f>$C122/8*5</f>
        <v>114.39003847418752</v>
      </c>
      <c r="J123" s="27">
        <f>$C122/8*6</f>
        <v>137.268046169025</v>
      </c>
      <c r="K123" s="27">
        <f>$C122/8*7</f>
        <v>160.14605386386253</v>
      </c>
      <c r="L123" s="28">
        <f>$C122/8*8</f>
        <v>183.02406155870003</v>
      </c>
      <c r="O123" s="13"/>
    </row>
    <row r="124" spans="1:15" ht="12.75">
      <c r="A124" s="207"/>
      <c r="B124" s="206"/>
      <c r="C124" s="80">
        <f aca="true" t="shared" si="4" ref="C124:C133">C134</f>
        <v>0.1</v>
      </c>
      <c r="D124" s="43">
        <f aca="true" t="shared" si="5" ref="D124:D133">IF(C146&lt;0,E124,D$123)</f>
        <v>0</v>
      </c>
      <c r="E124" s="26">
        <f aca="true" t="shared" si="6" ref="E124:K133">IF($C$144&lt;D146,D124,IF(D146&lt;0,F124,E$123))</f>
        <v>22.878007694837503</v>
      </c>
      <c r="F124" s="26">
        <f t="shared" si="6"/>
        <v>45.75601538967501</v>
      </c>
      <c r="G124" s="26">
        <f t="shared" si="6"/>
        <v>68.6340230845125</v>
      </c>
      <c r="H124" s="26">
        <f t="shared" si="6"/>
        <v>91.51203077935001</v>
      </c>
      <c r="I124" s="26">
        <f t="shared" si="6"/>
        <v>114.39003847418752</v>
      </c>
      <c r="J124" s="26">
        <f t="shared" si="6"/>
        <v>137.268046169025</v>
      </c>
      <c r="K124" s="26">
        <f t="shared" si="6"/>
        <v>160.14605386386253</v>
      </c>
      <c r="L124" s="157">
        <f aca="true" t="shared" si="7" ref="L124:L133">IF($C$144&lt;K146,K124,IF(K146&lt;0,O124,L$123))</f>
        <v>183.02406155870003</v>
      </c>
      <c r="O124" s="13"/>
    </row>
    <row r="125" spans="1:15" ht="12.75">
      <c r="A125" s="207"/>
      <c r="B125" s="206"/>
      <c r="C125" s="80">
        <f t="shared" si="4"/>
        <v>-0.05</v>
      </c>
      <c r="D125" s="43">
        <f t="shared" si="5"/>
        <v>68.6340230845125</v>
      </c>
      <c r="E125" s="26">
        <f t="shared" si="6"/>
        <v>68.6340230845125</v>
      </c>
      <c r="F125" s="26">
        <f t="shared" si="6"/>
        <v>68.6340230845125</v>
      </c>
      <c r="G125" s="26">
        <f t="shared" si="6"/>
        <v>68.6340230845125</v>
      </c>
      <c r="H125" s="26">
        <f t="shared" si="6"/>
        <v>91.51203077935001</v>
      </c>
      <c r="I125" s="26">
        <f t="shared" si="6"/>
        <v>114.39003847418752</v>
      </c>
      <c r="J125" s="26">
        <f t="shared" si="6"/>
        <v>137.268046169025</v>
      </c>
      <c r="K125" s="26">
        <f t="shared" si="6"/>
        <v>160.14605386386253</v>
      </c>
      <c r="L125" s="157">
        <f t="shared" si="7"/>
        <v>183.02406155870003</v>
      </c>
      <c r="O125" s="11"/>
    </row>
    <row r="126" spans="1:15" ht="12.75">
      <c r="A126" s="207"/>
      <c r="B126" s="206"/>
      <c r="C126" s="80">
        <f t="shared" si="4"/>
        <v>0</v>
      </c>
      <c r="D126" s="43">
        <f t="shared" si="5"/>
        <v>0</v>
      </c>
      <c r="E126" s="26">
        <f t="shared" si="6"/>
        <v>22.878007694837503</v>
      </c>
      <c r="F126" s="26">
        <f t="shared" si="6"/>
        <v>45.75601538967501</v>
      </c>
      <c r="G126" s="26">
        <f t="shared" si="6"/>
        <v>68.6340230845125</v>
      </c>
      <c r="H126" s="26">
        <f t="shared" si="6"/>
        <v>91.51203077935001</v>
      </c>
      <c r="I126" s="26">
        <f t="shared" si="6"/>
        <v>114.39003847418752</v>
      </c>
      <c r="J126" s="26">
        <f t="shared" si="6"/>
        <v>137.268046169025</v>
      </c>
      <c r="K126" s="26">
        <f t="shared" si="6"/>
        <v>160.14605386386253</v>
      </c>
      <c r="L126" s="157">
        <f t="shared" si="7"/>
        <v>183.02406155870003</v>
      </c>
      <c r="O126" s="11"/>
    </row>
    <row r="127" spans="1:15" ht="12.75">
      <c r="A127" s="207"/>
      <c r="B127" s="206"/>
      <c r="C127" s="80">
        <f t="shared" si="4"/>
        <v>0.05</v>
      </c>
      <c r="D127" s="43">
        <f t="shared" si="5"/>
        <v>0</v>
      </c>
      <c r="E127" s="26">
        <f t="shared" si="6"/>
        <v>22.878007694837503</v>
      </c>
      <c r="F127" s="26">
        <f t="shared" si="6"/>
        <v>45.75601538967501</v>
      </c>
      <c r="G127" s="26">
        <f t="shared" si="6"/>
        <v>68.6340230845125</v>
      </c>
      <c r="H127" s="26">
        <f t="shared" si="6"/>
        <v>91.51203077935001</v>
      </c>
      <c r="I127" s="26">
        <f t="shared" si="6"/>
        <v>114.39003847418752</v>
      </c>
      <c r="J127" s="26">
        <f t="shared" si="6"/>
        <v>137.268046169025</v>
      </c>
      <c r="K127" s="26">
        <f t="shared" si="6"/>
        <v>160.14605386386253</v>
      </c>
      <c r="L127" s="157">
        <f t="shared" si="7"/>
        <v>183.02406155870003</v>
      </c>
      <c r="O127" s="11"/>
    </row>
    <row r="128" spans="1:15" ht="12.75">
      <c r="A128" s="207"/>
      <c r="B128" s="206"/>
      <c r="C128" s="80">
        <f t="shared" si="4"/>
        <v>0.33</v>
      </c>
      <c r="D128" s="43">
        <f t="shared" si="5"/>
        <v>0</v>
      </c>
      <c r="E128" s="26">
        <f t="shared" si="6"/>
        <v>22.878007694837503</v>
      </c>
      <c r="F128" s="26">
        <f t="shared" si="6"/>
        <v>45.75601538967501</v>
      </c>
      <c r="G128" s="26">
        <f t="shared" si="6"/>
        <v>68.6340230845125</v>
      </c>
      <c r="H128" s="26">
        <f t="shared" si="6"/>
        <v>91.51203077935001</v>
      </c>
      <c r="I128" s="26">
        <f t="shared" si="6"/>
        <v>114.39003847418752</v>
      </c>
      <c r="J128" s="26">
        <f t="shared" si="6"/>
        <v>137.268046169025</v>
      </c>
      <c r="K128" s="26">
        <f t="shared" si="6"/>
        <v>160.14605386386253</v>
      </c>
      <c r="L128" s="157">
        <f t="shared" si="7"/>
        <v>183.02406155870003</v>
      </c>
      <c r="O128" s="11"/>
    </row>
    <row r="129" spans="1:15" ht="12.75">
      <c r="A129" s="207"/>
      <c r="B129" s="206"/>
      <c r="C129" s="80">
        <f t="shared" si="4"/>
        <v>0.47</v>
      </c>
      <c r="D129" s="43">
        <f t="shared" si="5"/>
        <v>0</v>
      </c>
      <c r="E129" s="26">
        <f t="shared" si="6"/>
        <v>22.878007694837503</v>
      </c>
      <c r="F129" s="26">
        <f t="shared" si="6"/>
        <v>45.75601538967501</v>
      </c>
      <c r="G129" s="26">
        <f t="shared" si="6"/>
        <v>68.6340230845125</v>
      </c>
      <c r="H129" s="26">
        <f t="shared" si="6"/>
        <v>91.51203077935001</v>
      </c>
      <c r="I129" s="26">
        <f t="shared" si="6"/>
        <v>114.39003847418752</v>
      </c>
      <c r="J129" s="26">
        <f t="shared" si="6"/>
        <v>137.268046169025</v>
      </c>
      <c r="K129" s="26">
        <f t="shared" si="6"/>
        <v>160.14605386386253</v>
      </c>
      <c r="L129" s="157">
        <f t="shared" si="7"/>
        <v>183.02406155870003</v>
      </c>
      <c r="O129" s="11"/>
    </row>
    <row r="130" spans="1:15" ht="12.75">
      <c r="A130" s="207"/>
      <c r="B130" s="206"/>
      <c r="C130" s="80">
        <f t="shared" si="4"/>
        <v>0.74</v>
      </c>
      <c r="D130" s="43">
        <f t="shared" si="5"/>
        <v>0</v>
      </c>
      <c r="E130" s="26">
        <f t="shared" si="6"/>
        <v>22.878007694837503</v>
      </c>
      <c r="F130" s="26">
        <f t="shared" si="6"/>
        <v>45.75601538967501</v>
      </c>
      <c r="G130" s="26">
        <f t="shared" si="6"/>
        <v>68.6340230845125</v>
      </c>
      <c r="H130" s="26">
        <f t="shared" si="6"/>
        <v>91.51203077935001</v>
      </c>
      <c r="I130" s="26">
        <f t="shared" si="6"/>
        <v>114.39003847418752</v>
      </c>
      <c r="J130" s="26">
        <f t="shared" si="6"/>
        <v>137.268046169025</v>
      </c>
      <c r="K130" s="26">
        <f t="shared" si="6"/>
        <v>160.14605386386253</v>
      </c>
      <c r="L130" s="157">
        <f t="shared" si="7"/>
        <v>183.02406155870003</v>
      </c>
      <c r="O130" s="11"/>
    </row>
    <row r="131" spans="1:15" ht="12.75">
      <c r="A131" s="207"/>
      <c r="B131" s="206"/>
      <c r="C131" s="80">
        <f t="shared" si="4"/>
        <v>1</v>
      </c>
      <c r="D131" s="43">
        <f t="shared" si="5"/>
        <v>0</v>
      </c>
      <c r="E131" s="26">
        <f t="shared" si="6"/>
        <v>22.878007694837503</v>
      </c>
      <c r="F131" s="26">
        <f t="shared" si="6"/>
        <v>45.75601538967501</v>
      </c>
      <c r="G131" s="26">
        <f t="shared" si="6"/>
        <v>68.6340230845125</v>
      </c>
      <c r="H131" s="26">
        <f t="shared" si="6"/>
        <v>91.51203077935001</v>
      </c>
      <c r="I131" s="26">
        <f t="shared" si="6"/>
        <v>114.39003847418752</v>
      </c>
      <c r="J131" s="26">
        <f t="shared" si="6"/>
        <v>137.268046169025</v>
      </c>
      <c r="K131" s="26">
        <f t="shared" si="6"/>
        <v>160.14605386386253</v>
      </c>
      <c r="L131" s="157">
        <f t="shared" si="7"/>
        <v>183.02406155870003</v>
      </c>
      <c r="O131" s="11"/>
    </row>
    <row r="132" spans="1:15" ht="12.75">
      <c r="A132" s="207"/>
      <c r="B132" s="206"/>
      <c r="C132" s="80">
        <f t="shared" si="4"/>
        <v>1.9</v>
      </c>
      <c r="D132" s="43">
        <f t="shared" si="5"/>
        <v>0</v>
      </c>
      <c r="E132" s="26">
        <f t="shared" si="6"/>
        <v>22.878007694837503</v>
      </c>
      <c r="F132" s="26">
        <f t="shared" si="6"/>
        <v>45.75601538967501</v>
      </c>
      <c r="G132" s="26">
        <f t="shared" si="6"/>
        <v>68.6340230845125</v>
      </c>
      <c r="H132" s="26">
        <f t="shared" si="6"/>
        <v>91.51203077935001</v>
      </c>
      <c r="I132" s="26">
        <f t="shared" si="6"/>
        <v>114.39003847418752</v>
      </c>
      <c r="J132" s="26">
        <f t="shared" si="6"/>
        <v>137.268046169025</v>
      </c>
      <c r="K132" s="26">
        <f t="shared" si="6"/>
        <v>160.14605386386253</v>
      </c>
      <c r="L132" s="157">
        <f t="shared" si="7"/>
        <v>183.02406155870003</v>
      </c>
      <c r="O132" s="11"/>
    </row>
    <row r="133" spans="1:15" ht="12.75">
      <c r="A133" s="208"/>
      <c r="B133" s="209"/>
      <c r="C133" s="81">
        <f t="shared" si="4"/>
        <v>99.99</v>
      </c>
      <c r="D133" s="51">
        <f t="shared" si="5"/>
        <v>0</v>
      </c>
      <c r="E133" s="26">
        <f t="shared" si="6"/>
        <v>22.878007694837503</v>
      </c>
      <c r="F133" s="26">
        <f t="shared" si="6"/>
        <v>45.75601538967501</v>
      </c>
      <c r="G133" s="26">
        <f t="shared" si="6"/>
        <v>68.6340230845125</v>
      </c>
      <c r="H133" s="26">
        <f t="shared" si="6"/>
        <v>91.51203077935001</v>
      </c>
      <c r="I133" s="26">
        <f t="shared" si="6"/>
        <v>114.39003847418752</v>
      </c>
      <c r="J133" s="26">
        <f t="shared" si="6"/>
        <v>137.268046169025</v>
      </c>
      <c r="K133" s="26">
        <f t="shared" si="6"/>
        <v>160.14605386386253</v>
      </c>
      <c r="L133" s="157">
        <f t="shared" si="7"/>
        <v>183.02406155870003</v>
      </c>
      <c r="O133" s="11"/>
    </row>
    <row r="134" spans="1:15" ht="12.75">
      <c r="A134" s="205" t="s">
        <v>51</v>
      </c>
      <c r="B134" s="206"/>
      <c r="C134" s="80">
        <f>O25</f>
        <v>0.1</v>
      </c>
      <c r="D134" s="43">
        <f aca="true" t="shared" si="8" ref="D134:D143">IF($C$144&lt;C146,"",IF(C146&lt;0,E134,C146))</f>
        <v>243.78883802810088</v>
      </c>
      <c r="E134" s="76">
        <f aca="true" t="shared" si="9" ref="E134:K143">IF($C$144&lt;D146,D134,IF(D146&lt;0,F134,D146))</f>
        <v>257.0655608442727</v>
      </c>
      <c r="F134" s="77">
        <f t="shared" si="9"/>
        <v>296.89572929278813</v>
      </c>
      <c r="G134" s="77">
        <f t="shared" si="9"/>
        <v>363.2793433736473</v>
      </c>
      <c r="H134" s="77">
        <f t="shared" si="9"/>
        <v>456.21640308685</v>
      </c>
      <c r="I134" s="77">
        <f t="shared" si="9"/>
        <v>575.7069084323964</v>
      </c>
      <c r="J134" s="77">
        <f t="shared" si="9"/>
        <v>721.7508594102864</v>
      </c>
      <c r="K134" s="77">
        <f t="shared" si="9"/>
        <v>894.3482560205202</v>
      </c>
      <c r="L134" s="158">
        <f aca="true" t="shared" si="10" ref="L134:L143">IF($C$144&lt;K146,K134,IF(K146&lt;0,O134,K146))</f>
        <v>1093.4990982630973</v>
      </c>
      <c r="O134" s="11"/>
    </row>
    <row r="135" spans="1:15" ht="12.75">
      <c r="A135" s="207"/>
      <c r="B135" s="206"/>
      <c r="C135" s="80">
        <f>O24</f>
        <v>-0.05</v>
      </c>
      <c r="D135" s="43">
        <f t="shared" si="8"/>
        <v>33.51515744600958</v>
      </c>
      <c r="E135" s="29">
        <f t="shared" si="9"/>
        <v>33.51515744600958</v>
      </c>
      <c r="F135" s="26">
        <f t="shared" si="9"/>
        <v>33.51515744600958</v>
      </c>
      <c r="G135" s="26">
        <f t="shared" si="9"/>
        <v>33.51515744600958</v>
      </c>
      <c r="H135" s="26">
        <f t="shared" si="9"/>
        <v>126.45221715921231</v>
      </c>
      <c r="I135" s="26">
        <f t="shared" si="9"/>
        <v>245.9427225047587</v>
      </c>
      <c r="J135" s="26">
        <f t="shared" si="9"/>
        <v>391.98667348264865</v>
      </c>
      <c r="K135" s="26">
        <f t="shared" si="9"/>
        <v>564.5840700928825</v>
      </c>
      <c r="L135" s="157">
        <f t="shared" si="10"/>
        <v>763.7349123354596</v>
      </c>
      <c r="O135" s="11"/>
    </row>
    <row r="136" spans="1:15" ht="12.75">
      <c r="A136" s="207"/>
      <c r="B136" s="206"/>
      <c r="C136" s="80">
        <f>O23</f>
        <v>0</v>
      </c>
      <c r="D136" s="43">
        <f t="shared" si="8"/>
        <v>24.27975</v>
      </c>
      <c r="E136" s="29">
        <f t="shared" si="9"/>
        <v>37.55647281617182</v>
      </c>
      <c r="F136" s="26">
        <f t="shared" si="9"/>
        <v>77.38664126468728</v>
      </c>
      <c r="G136" s="26">
        <f t="shared" si="9"/>
        <v>143.77025534554636</v>
      </c>
      <c r="H136" s="26">
        <f t="shared" si="9"/>
        <v>236.70731505874912</v>
      </c>
      <c r="I136" s="26">
        <f t="shared" si="9"/>
        <v>356.1978204042955</v>
      </c>
      <c r="J136" s="26">
        <f t="shared" si="9"/>
        <v>502.24177138218545</v>
      </c>
      <c r="K136" s="26">
        <f t="shared" si="9"/>
        <v>674.8391679924193</v>
      </c>
      <c r="L136" s="157">
        <f t="shared" si="10"/>
        <v>873.9900102349965</v>
      </c>
      <c r="O136" s="11"/>
    </row>
    <row r="137" spans="1:15" ht="12.75">
      <c r="A137" s="207"/>
      <c r="B137" s="206"/>
      <c r="C137" s="80">
        <f>O22</f>
        <v>0.05</v>
      </c>
      <c r="D137" s="43">
        <f t="shared" si="8"/>
        <v>134.4742620992755</v>
      </c>
      <c r="E137" s="29">
        <f t="shared" si="9"/>
        <v>147.7509849154473</v>
      </c>
      <c r="F137" s="26">
        <f t="shared" si="9"/>
        <v>187.58115336396276</v>
      </c>
      <c r="G137" s="26">
        <f t="shared" si="9"/>
        <v>253.96476744482186</v>
      </c>
      <c r="H137" s="26">
        <f t="shared" si="9"/>
        <v>346.9018271580246</v>
      </c>
      <c r="I137" s="26">
        <f t="shared" si="9"/>
        <v>466.392332503571</v>
      </c>
      <c r="J137" s="26">
        <f t="shared" si="9"/>
        <v>612.4362834814609</v>
      </c>
      <c r="K137" s="26">
        <f t="shared" si="9"/>
        <v>785.0336800916948</v>
      </c>
      <c r="L137" s="157">
        <f t="shared" si="10"/>
        <v>984.184522334272</v>
      </c>
      <c r="O137" s="11"/>
    </row>
    <row r="138" spans="1:15" ht="12.75">
      <c r="A138" s="207"/>
      <c r="B138" s="206"/>
      <c r="C138" s="80">
        <f>O21</f>
        <v>0.33</v>
      </c>
      <c r="D138" s="43">
        <f t="shared" si="8"/>
        <v>714.7591319846144</v>
      </c>
      <c r="E138" s="29">
        <f t="shared" si="9"/>
        <v>728.0358548007863</v>
      </c>
      <c r="F138" s="26">
        <f t="shared" si="9"/>
        <v>767.8660232493017</v>
      </c>
      <c r="G138" s="26">
        <f t="shared" si="9"/>
        <v>834.2496373301608</v>
      </c>
      <c r="H138" s="26">
        <f t="shared" si="9"/>
        <v>927.1866970433636</v>
      </c>
      <c r="I138" s="26">
        <f t="shared" si="9"/>
        <v>1046.67720238891</v>
      </c>
      <c r="J138" s="26">
        <f t="shared" si="9"/>
        <v>1192.7211533668</v>
      </c>
      <c r="K138" s="26">
        <f t="shared" si="9"/>
        <v>1365.3185499770339</v>
      </c>
      <c r="L138" s="157">
        <f t="shared" si="10"/>
        <v>1564.4693922196109</v>
      </c>
      <c r="O138" s="11"/>
    </row>
    <row r="139" spans="1:15" ht="12.75">
      <c r="A139" s="207"/>
      <c r="B139" s="206"/>
      <c r="C139" s="80">
        <f>O20</f>
        <v>0.47</v>
      </c>
      <c r="D139" s="43">
        <f t="shared" si="8"/>
        <v>960.8521250956003</v>
      </c>
      <c r="E139" s="29">
        <f t="shared" si="9"/>
        <v>974.1288479117721</v>
      </c>
      <c r="F139" s="26">
        <f t="shared" si="9"/>
        <v>1013.9590163602876</v>
      </c>
      <c r="G139" s="26">
        <f t="shared" si="9"/>
        <v>1080.3426304411466</v>
      </c>
      <c r="H139" s="26">
        <f t="shared" si="9"/>
        <v>1173.2796901543493</v>
      </c>
      <c r="I139" s="26">
        <f t="shared" si="9"/>
        <v>1292.7701954998959</v>
      </c>
      <c r="J139" s="26">
        <f t="shared" si="9"/>
        <v>1438.8141464777857</v>
      </c>
      <c r="K139" s="26">
        <f t="shared" si="9"/>
        <v>1611.4115430880197</v>
      </c>
      <c r="L139" s="157">
        <f t="shared" si="10"/>
        <v>1810.5623853305967</v>
      </c>
      <c r="O139" s="11"/>
    </row>
    <row r="140" spans="1:15" ht="12.75">
      <c r="A140" s="207"/>
      <c r="B140" s="206"/>
      <c r="C140" s="80">
        <f>O19</f>
        <v>0.74</v>
      </c>
      <c r="D140" s="43">
        <f t="shared" si="8"/>
        <v>1332.4843040440492</v>
      </c>
      <c r="E140" s="29">
        <f t="shared" si="9"/>
        <v>1345.7610268602211</v>
      </c>
      <c r="F140" s="26">
        <f t="shared" si="9"/>
        <v>1385.5911953087366</v>
      </c>
      <c r="G140" s="26">
        <f t="shared" si="9"/>
        <v>1451.9748093895955</v>
      </c>
      <c r="H140" s="26">
        <f t="shared" si="9"/>
        <v>1544.9118691027984</v>
      </c>
      <c r="I140" s="26">
        <f t="shared" si="9"/>
        <v>1664.4023744483447</v>
      </c>
      <c r="J140" s="26">
        <f t="shared" si="9"/>
        <v>1810.4463254262346</v>
      </c>
      <c r="K140" s="26">
        <f t="shared" si="9"/>
        <v>1983.0437220364684</v>
      </c>
      <c r="L140" s="157">
        <f t="shared" si="10"/>
        <v>2182.1945642790456</v>
      </c>
      <c r="O140" s="11"/>
    </row>
    <row r="141" spans="1:15" ht="12.75">
      <c r="A141" s="207"/>
      <c r="B141" s="206"/>
      <c r="C141" s="80">
        <f>O18</f>
        <v>1</v>
      </c>
      <c r="D141" s="43">
        <f t="shared" si="8"/>
        <v>1577.929818644521</v>
      </c>
      <c r="E141" s="29">
        <f t="shared" si="9"/>
        <v>1591.2065414606927</v>
      </c>
      <c r="F141" s="26">
        <f t="shared" si="9"/>
        <v>1631.0367099092082</v>
      </c>
      <c r="G141" s="26">
        <f t="shared" si="9"/>
        <v>1697.4203239900673</v>
      </c>
      <c r="H141" s="26">
        <f t="shared" si="9"/>
        <v>1790.35738370327</v>
      </c>
      <c r="I141" s="26">
        <f t="shared" si="9"/>
        <v>1909.8478890488163</v>
      </c>
      <c r="J141" s="26">
        <f t="shared" si="9"/>
        <v>2055.891840026706</v>
      </c>
      <c r="K141" s="26">
        <f t="shared" si="9"/>
        <v>2228.4892366369404</v>
      </c>
      <c r="L141" s="157">
        <f t="shared" si="10"/>
        <v>2427.640078879517</v>
      </c>
      <c r="O141" s="11"/>
    </row>
    <row r="142" spans="1:15" ht="12.75">
      <c r="A142" s="207"/>
      <c r="B142" s="206"/>
      <c r="C142" s="80">
        <f>O17</f>
        <v>1.9</v>
      </c>
      <c r="D142" s="43">
        <f t="shared" si="8"/>
        <v>1964.5439533051983</v>
      </c>
      <c r="E142" s="29">
        <f t="shared" si="9"/>
        <v>1977.82067612137</v>
      </c>
      <c r="F142" s="26">
        <f t="shared" si="9"/>
        <v>2017.6508445698855</v>
      </c>
      <c r="G142" s="26">
        <f t="shared" si="9"/>
        <v>2084.034458650745</v>
      </c>
      <c r="H142" s="26">
        <f t="shared" si="9"/>
        <v>2176.9715183639473</v>
      </c>
      <c r="I142" s="26">
        <f t="shared" si="9"/>
        <v>2296.4620237094937</v>
      </c>
      <c r="J142" s="26">
        <f t="shared" si="9"/>
        <v>2442.505974687384</v>
      </c>
      <c r="K142" s="26">
        <f t="shared" si="9"/>
        <v>2615.1033712976177</v>
      </c>
      <c r="L142" s="157">
        <f t="shared" si="10"/>
        <v>2814.2542135401945</v>
      </c>
      <c r="O142" s="11"/>
    </row>
    <row r="143" spans="1:15" ht="12.75">
      <c r="A143" s="208"/>
      <c r="B143" s="209"/>
      <c r="C143" s="80">
        <f>O16</f>
        <v>99.99</v>
      </c>
      <c r="D143" s="43">
        <f t="shared" si="8"/>
        <v>2207.382433343569</v>
      </c>
      <c r="E143" s="29">
        <f t="shared" si="9"/>
        <v>2220.6591561597406</v>
      </c>
      <c r="F143" s="26">
        <f t="shared" si="9"/>
        <v>2260.489324608256</v>
      </c>
      <c r="G143" s="26">
        <f t="shared" si="9"/>
        <v>2326.8729386891155</v>
      </c>
      <c r="H143" s="26">
        <f t="shared" si="9"/>
        <v>2419.809998402318</v>
      </c>
      <c r="I143" s="26">
        <f t="shared" si="9"/>
        <v>2539.3005037478647</v>
      </c>
      <c r="J143" s="26">
        <f t="shared" si="9"/>
        <v>2685.3444547257545</v>
      </c>
      <c r="K143" s="26">
        <f t="shared" si="9"/>
        <v>2857.9418513359883</v>
      </c>
      <c r="L143" s="157">
        <f t="shared" si="10"/>
        <v>3057.0926935785656</v>
      </c>
      <c r="O143" s="11"/>
    </row>
    <row r="144" spans="1:15" ht="13.5" thickBot="1">
      <c r="A144" s="210" t="s">
        <v>31</v>
      </c>
      <c r="B144" s="211"/>
      <c r="C144" s="82">
        <f>D144*E144</f>
        <v>3246.2175322508915</v>
      </c>
      <c r="D144" s="44">
        <f>P11</f>
        <v>1.02</v>
      </c>
      <c r="E144" s="30">
        <f>MAX(C98:M111)</f>
        <v>3182.5662080891093</v>
      </c>
      <c r="F144" s="30"/>
      <c r="G144" s="30"/>
      <c r="H144" s="30"/>
      <c r="I144" s="78"/>
      <c r="J144" s="78"/>
      <c r="K144" s="78"/>
      <c r="L144" s="31"/>
      <c r="O144" s="11"/>
    </row>
    <row r="145" ht="13.5" thickBot="1"/>
    <row r="146" spans="1:11" ht="12.75" customHeight="1">
      <c r="A146" s="247" t="s">
        <v>52</v>
      </c>
      <c r="B146" s="248"/>
      <c r="C146" s="85">
        <f>1.293/2*(D$123/3.6)^2*$N$4*$L$4+$I$4*9.81*$G$4*COS(ATAN($C134))+$I$4*9.81*SIN(ATAN($C134))</f>
        <v>243.78883802810088</v>
      </c>
      <c r="D146" s="86">
        <f>1.293/2*(E$123/3.6)^2*$N$4*$L$4+$I$4*9.81*$G$4*COS(ATAN($C134))+$I$4*9.81*SIN(ATAN($C134))</f>
        <v>257.0655608442727</v>
      </c>
      <c r="E146" s="86">
        <f>1.293/2*(F$123/3.6)^2*$N$4*$L$4+$I$4*9.81*$G$4*COS(ATAN($C134))+$I$4*9.81*SIN(ATAN($C134))</f>
        <v>296.89572929278813</v>
      </c>
      <c r="F146" s="86">
        <f>1.293/2*(G$123/3.6)^2*$N$4*$L$4+$I$4*9.81*$G$4*COS(ATAN($C134))+$I$4*9.81*SIN(ATAN($C134))</f>
        <v>363.2793433736473</v>
      </c>
      <c r="G146" s="86">
        <f>1.293/2*(H$123/3.6)^2*$N$4*$L$4+$I$4*9.81*$G$4*COS(ATAN($C134))+$I$4*9.81*SIN(ATAN($C134))</f>
        <v>456.21640308685</v>
      </c>
      <c r="H146" s="86">
        <f>1.293/2*(I$123/3.6)^2*$N$4*$L$4+$I$4*9.81*$G$4*COS(ATAN($C134))+$I$4*9.81*SIN(ATAN($C134))</f>
        <v>575.7069084323964</v>
      </c>
      <c r="I146" s="86">
        <f>1.293/2*(J$123/3.6)^2*$N$4*$L$4+$I$4*9.81*$G$4*COS(ATAN($C134))+$I$4*9.81*SIN(ATAN($C134))</f>
        <v>721.7508594102864</v>
      </c>
      <c r="J146" s="86">
        <f>1.293/2*(K$123/3.6)^2*$N$4*$L$4+$I$4*9.81*$G$4*COS(ATAN($C134))+$I$4*9.81*SIN(ATAN($C134))</f>
        <v>894.3482560205202</v>
      </c>
      <c r="K146" s="87">
        <f>1.293/2*(L$123/3.6)^2*$N$4*$L$4+$I$4*9.81*$G$4*COS(ATAN($C134))+$I$4*9.81*SIN(ATAN($C134))</f>
        <v>1093.4990982630973</v>
      </c>
    </row>
    <row r="147" spans="1:11" ht="12.75">
      <c r="A147" s="249"/>
      <c r="B147" s="250"/>
      <c r="C147" s="83">
        <f>1.293/2*(D$123/3.6)^2*$N$4*$L$4+$I$4*9.81*$G$4*COS(ATAN($C135))+$I$4*9.81*SIN(ATAN($C135))</f>
        <v>-85.9753478995368</v>
      </c>
      <c r="D147" s="84">
        <f>1.293/2*(E$123/3.6)^2*$N$4*$L$4+$I$4*9.81*$G$4*COS(ATAN($C135))+$I$4*9.81*SIN(ATAN($C135))</f>
        <v>-72.69862508336497</v>
      </c>
      <c r="E147" s="84">
        <f>1.293/2*(F$123/3.6)^2*$N$4*$L$4+$I$4*9.81*$G$4*COS(ATAN($C135))+$I$4*9.81*SIN(ATAN($C135))</f>
        <v>-32.86845663484952</v>
      </c>
      <c r="F147" s="84">
        <f>1.293/2*(G$123/3.6)^2*$N$4*$L$4+$I$4*9.81*$G$4*COS(ATAN($C135))+$I$4*9.81*SIN(ATAN($C135))</f>
        <v>33.51515744600958</v>
      </c>
      <c r="G147" s="84">
        <f>1.293/2*(H$123/3.6)^2*$N$4*$L$4+$I$4*9.81*$G$4*COS(ATAN($C135))+$I$4*9.81*SIN(ATAN($C135))</f>
        <v>126.45221715921231</v>
      </c>
      <c r="H147" s="84">
        <f>1.293/2*(I$123/3.6)^2*$N$4*$L$4+$I$4*9.81*$G$4*COS(ATAN($C135))+$I$4*9.81*SIN(ATAN($C135))</f>
        <v>245.9427225047587</v>
      </c>
      <c r="I147" s="84">
        <f>1.293/2*(J$123/3.6)^2*$N$4*$L$4+$I$4*9.81*$G$4*COS(ATAN($C135))+$I$4*9.81*SIN(ATAN($C135))</f>
        <v>391.98667348264865</v>
      </c>
      <c r="J147" s="84">
        <f>1.293/2*(K$123/3.6)^2*$N$4*$L$4+$I$4*9.81*$G$4*COS(ATAN($C135))+$I$4*9.81*SIN(ATAN($C135))</f>
        <v>564.5840700928825</v>
      </c>
      <c r="K147" s="88">
        <f>1.293/2*(L$123/3.6)^2*$N$4*$L$4+$I$4*9.81*$G$4*COS(ATAN($C135))+$I$4*9.81*SIN(ATAN($C135))</f>
        <v>763.7349123354596</v>
      </c>
    </row>
    <row r="148" spans="1:11" ht="12.75">
      <c r="A148" s="249"/>
      <c r="B148" s="250"/>
      <c r="C148" s="83">
        <f>1.293/2*(D$123/3.6)^2*$N$4*$L$4+$I$4*9.81*$G$4*COS(ATAN($C136))+$I$4*9.81*SIN(ATAN($C136))</f>
        <v>24.27975</v>
      </c>
      <c r="D148" s="84">
        <f>1.293/2*(E$123/3.6)^2*$N$4*$L$4+$I$4*9.81*$G$4*COS(ATAN($C136))+$I$4*9.81*SIN(ATAN($C136))</f>
        <v>37.55647281617182</v>
      </c>
      <c r="E148" s="84">
        <f>1.293/2*(F$123/3.6)^2*$N$4*$L$4+$I$4*9.81*$G$4*COS(ATAN($C136))+$I$4*9.81*SIN(ATAN($C136))</f>
        <v>77.38664126468728</v>
      </c>
      <c r="F148" s="84">
        <f>1.293/2*(G$123/3.6)^2*$N$4*$L$4+$I$4*9.81*$G$4*COS(ATAN($C136))+$I$4*9.81*SIN(ATAN($C136))</f>
        <v>143.77025534554636</v>
      </c>
      <c r="G148" s="84">
        <f>1.293/2*(H$123/3.6)^2*$N$4*$L$4+$I$4*9.81*$G$4*COS(ATAN($C136))+$I$4*9.81*SIN(ATAN($C136))</f>
        <v>236.70731505874912</v>
      </c>
      <c r="H148" s="84">
        <f>1.293/2*(I$123/3.6)^2*$N$4*$L$4+$I$4*9.81*$G$4*COS(ATAN($C136))+$I$4*9.81*SIN(ATAN($C136))</f>
        <v>356.1978204042955</v>
      </c>
      <c r="I148" s="84">
        <f>1.293/2*(J$123/3.6)^2*$N$4*$L$4+$I$4*9.81*$G$4*COS(ATAN($C136))+$I$4*9.81*SIN(ATAN($C136))</f>
        <v>502.24177138218545</v>
      </c>
      <c r="J148" s="84">
        <f>1.293/2*(K$123/3.6)^2*$N$4*$L$4+$I$4*9.81*$G$4*COS(ATAN($C136))+$I$4*9.81*SIN(ATAN($C136))</f>
        <v>674.8391679924193</v>
      </c>
      <c r="K148" s="88">
        <f>1.293/2*(L$123/3.6)^2*$N$4*$L$4+$I$4*9.81*$G$4*COS(ATAN($C136))+$I$4*9.81*SIN(ATAN($C136))</f>
        <v>873.9900102349965</v>
      </c>
    </row>
    <row r="149" spans="1:11" ht="12.75">
      <c r="A149" s="249"/>
      <c r="B149" s="250"/>
      <c r="C149" s="83">
        <f>1.293/2*(D$123/3.6)^2*$N$4*$L$4+$I$4*9.81*$G$4*COS(ATAN($C137))+$I$4*9.81*SIN(ATAN($C137))</f>
        <v>134.4742620992755</v>
      </c>
      <c r="D149" s="84">
        <f>1.293/2*(E$123/3.6)^2*$N$4*$L$4+$I$4*9.81*$G$4*COS(ATAN($C137))+$I$4*9.81*SIN(ATAN($C137))</f>
        <v>147.7509849154473</v>
      </c>
      <c r="E149" s="84">
        <f>1.293/2*(F$123/3.6)^2*$N$4*$L$4+$I$4*9.81*$G$4*COS(ATAN($C137))+$I$4*9.81*SIN(ATAN($C137))</f>
        <v>187.58115336396276</v>
      </c>
      <c r="F149" s="84">
        <f>1.293/2*(G$123/3.6)^2*$N$4*$L$4+$I$4*9.81*$G$4*COS(ATAN($C137))+$I$4*9.81*SIN(ATAN($C137))</f>
        <v>253.96476744482186</v>
      </c>
      <c r="G149" s="84">
        <f>1.293/2*(H$123/3.6)^2*$N$4*$L$4+$I$4*9.81*$G$4*COS(ATAN($C137))+$I$4*9.81*SIN(ATAN($C137))</f>
        <v>346.9018271580246</v>
      </c>
      <c r="H149" s="84">
        <f>1.293/2*(I$123/3.6)^2*$N$4*$L$4+$I$4*9.81*$G$4*COS(ATAN($C137))+$I$4*9.81*SIN(ATAN($C137))</f>
        <v>466.392332503571</v>
      </c>
      <c r="I149" s="84">
        <f>1.293/2*(J$123/3.6)^2*$N$4*$L$4+$I$4*9.81*$G$4*COS(ATAN($C137))+$I$4*9.81*SIN(ATAN($C137))</f>
        <v>612.4362834814609</v>
      </c>
      <c r="J149" s="84">
        <f>1.293/2*(K$123/3.6)^2*$N$4*$L$4+$I$4*9.81*$G$4*COS(ATAN($C137))+$I$4*9.81*SIN(ATAN($C137))</f>
        <v>785.0336800916948</v>
      </c>
      <c r="K149" s="88">
        <f>1.293/2*(L$123/3.6)^2*$N$4*$L$4+$I$4*9.81*$G$4*COS(ATAN($C137))+$I$4*9.81*SIN(ATAN($C137))</f>
        <v>984.184522334272</v>
      </c>
    </row>
    <row r="150" spans="1:11" ht="12.75">
      <c r="A150" s="249"/>
      <c r="B150" s="250"/>
      <c r="C150" s="83">
        <f>1.293/2*(D$123/3.6)^2*$N$4*$L$4+$I$4*9.81*$G$4*COS(ATAN($C138))+$I$4*9.81*SIN(ATAN($C138))</f>
        <v>714.7591319846144</v>
      </c>
      <c r="D150" s="84">
        <f>1.293/2*(E$123/3.6)^2*$N$4*$L$4+$I$4*9.81*$G$4*COS(ATAN($C138))+$I$4*9.81*SIN(ATAN($C138))</f>
        <v>728.0358548007863</v>
      </c>
      <c r="E150" s="84">
        <f>1.293/2*(F$123/3.6)^2*$N$4*$L$4+$I$4*9.81*$G$4*COS(ATAN($C138))+$I$4*9.81*SIN(ATAN($C138))</f>
        <v>767.8660232493017</v>
      </c>
      <c r="F150" s="84">
        <f>1.293/2*(G$123/3.6)^2*$N$4*$L$4+$I$4*9.81*$G$4*COS(ATAN($C138))+$I$4*9.81*SIN(ATAN($C138))</f>
        <v>834.2496373301608</v>
      </c>
      <c r="G150" s="84">
        <f>1.293/2*(H$123/3.6)^2*$N$4*$L$4+$I$4*9.81*$G$4*COS(ATAN($C138))+$I$4*9.81*SIN(ATAN($C138))</f>
        <v>927.1866970433636</v>
      </c>
      <c r="H150" s="84">
        <f>1.293/2*(I$123/3.6)^2*$N$4*$L$4+$I$4*9.81*$G$4*COS(ATAN($C138))+$I$4*9.81*SIN(ATAN($C138))</f>
        <v>1046.67720238891</v>
      </c>
      <c r="I150" s="84">
        <f>1.293/2*(J$123/3.6)^2*$N$4*$L$4+$I$4*9.81*$G$4*COS(ATAN($C138))+$I$4*9.81*SIN(ATAN($C138))</f>
        <v>1192.7211533668</v>
      </c>
      <c r="J150" s="84">
        <f>1.293/2*(K$123/3.6)^2*$N$4*$L$4+$I$4*9.81*$G$4*COS(ATAN($C138))+$I$4*9.81*SIN(ATAN($C138))</f>
        <v>1365.3185499770339</v>
      </c>
      <c r="K150" s="88">
        <f>1.293/2*(L$123/3.6)^2*$N$4*$L$4+$I$4*9.81*$G$4*COS(ATAN($C138))+$I$4*9.81*SIN(ATAN($C138))</f>
        <v>1564.4693922196109</v>
      </c>
    </row>
    <row r="151" spans="1:11" ht="12.75">
      <c r="A151" s="249"/>
      <c r="B151" s="250"/>
      <c r="C151" s="83">
        <f>1.293/2*(D$123/3.6)^2*$N$4*$L$4+$I$4*9.81*$G$4*COS(ATAN($C139))+$I$4*9.81*SIN(ATAN($C139))</f>
        <v>960.8521250956003</v>
      </c>
      <c r="D151" s="84">
        <f>1.293/2*(E$123/3.6)^2*$N$4*$L$4+$I$4*9.81*$G$4*COS(ATAN($C139))+$I$4*9.81*SIN(ATAN($C139))</f>
        <v>974.1288479117721</v>
      </c>
      <c r="E151" s="84">
        <f>1.293/2*(F$123/3.6)^2*$N$4*$L$4+$I$4*9.81*$G$4*COS(ATAN($C139))+$I$4*9.81*SIN(ATAN($C139))</f>
        <v>1013.9590163602876</v>
      </c>
      <c r="F151" s="84">
        <f>1.293/2*(G$123/3.6)^2*$N$4*$L$4+$I$4*9.81*$G$4*COS(ATAN($C139))+$I$4*9.81*SIN(ATAN($C139))</f>
        <v>1080.3426304411466</v>
      </c>
      <c r="G151" s="84">
        <f>1.293/2*(H$123/3.6)^2*$N$4*$L$4+$I$4*9.81*$G$4*COS(ATAN($C139))+$I$4*9.81*SIN(ATAN($C139))</f>
        <v>1173.2796901543493</v>
      </c>
      <c r="H151" s="84">
        <f>1.293/2*(I$123/3.6)^2*$N$4*$L$4+$I$4*9.81*$G$4*COS(ATAN($C139))+$I$4*9.81*SIN(ATAN($C139))</f>
        <v>1292.7701954998959</v>
      </c>
      <c r="I151" s="84">
        <f>1.293/2*(J$123/3.6)^2*$N$4*$L$4+$I$4*9.81*$G$4*COS(ATAN($C139))+$I$4*9.81*SIN(ATAN($C139))</f>
        <v>1438.8141464777857</v>
      </c>
      <c r="J151" s="84">
        <f>1.293/2*(K$123/3.6)^2*$N$4*$L$4+$I$4*9.81*$G$4*COS(ATAN($C139))+$I$4*9.81*SIN(ATAN($C139))</f>
        <v>1611.4115430880197</v>
      </c>
      <c r="K151" s="88">
        <f>1.293/2*(L$123/3.6)^2*$N$4*$L$4+$I$4*9.81*$G$4*COS(ATAN($C139))+$I$4*9.81*SIN(ATAN($C139))</f>
        <v>1810.5623853305967</v>
      </c>
    </row>
    <row r="152" spans="1:11" ht="12.75">
      <c r="A152" s="249"/>
      <c r="B152" s="250"/>
      <c r="C152" s="83">
        <f>1.293/2*(D$123/3.6)^2*$N$4*$L$4+$I$4*9.81*$G$4*COS(ATAN($C140))+$I$4*9.81*SIN(ATAN($C140))</f>
        <v>1332.4843040440492</v>
      </c>
      <c r="D152" s="84">
        <f>1.293/2*(E$123/3.6)^2*$N$4*$L$4+$I$4*9.81*$G$4*COS(ATAN($C140))+$I$4*9.81*SIN(ATAN($C140))</f>
        <v>1345.7610268602211</v>
      </c>
      <c r="E152" s="84">
        <f>1.293/2*(F$123/3.6)^2*$N$4*$L$4+$I$4*9.81*$G$4*COS(ATAN($C140))+$I$4*9.81*SIN(ATAN($C140))</f>
        <v>1385.5911953087366</v>
      </c>
      <c r="F152" s="84">
        <f>1.293/2*(G$123/3.6)^2*$N$4*$L$4+$I$4*9.81*$G$4*COS(ATAN($C140))+$I$4*9.81*SIN(ATAN($C140))</f>
        <v>1451.9748093895955</v>
      </c>
      <c r="G152" s="84">
        <f>1.293/2*(H$123/3.6)^2*$N$4*$L$4+$I$4*9.81*$G$4*COS(ATAN($C140))+$I$4*9.81*SIN(ATAN($C140))</f>
        <v>1544.9118691027984</v>
      </c>
      <c r="H152" s="84">
        <f>1.293/2*(I$123/3.6)^2*$N$4*$L$4+$I$4*9.81*$G$4*COS(ATAN($C140))+$I$4*9.81*SIN(ATAN($C140))</f>
        <v>1664.4023744483447</v>
      </c>
      <c r="I152" s="84">
        <f>1.293/2*(J$123/3.6)^2*$N$4*$L$4+$I$4*9.81*$G$4*COS(ATAN($C140))+$I$4*9.81*SIN(ATAN($C140))</f>
        <v>1810.4463254262346</v>
      </c>
      <c r="J152" s="84">
        <f>1.293/2*(K$123/3.6)^2*$N$4*$L$4+$I$4*9.81*$G$4*COS(ATAN($C140))+$I$4*9.81*SIN(ATAN($C140))</f>
        <v>1983.0437220364684</v>
      </c>
      <c r="K152" s="88">
        <f>1.293/2*(L$123/3.6)^2*$N$4*$L$4+$I$4*9.81*$G$4*COS(ATAN($C140))+$I$4*9.81*SIN(ATAN($C140))</f>
        <v>2182.1945642790456</v>
      </c>
    </row>
    <row r="153" spans="1:11" ht="12.75">
      <c r="A153" s="249"/>
      <c r="B153" s="250"/>
      <c r="C153" s="83">
        <f>1.293/2*(D$123/3.6)^2*$N$4*$L$4+$I$4*9.81*$G$4*COS(ATAN($C141))+$I$4*9.81*SIN(ATAN($C141))</f>
        <v>1577.929818644521</v>
      </c>
      <c r="D153" s="84">
        <f>1.293/2*(E$123/3.6)^2*$N$4*$L$4+$I$4*9.81*$G$4*COS(ATAN($C141))+$I$4*9.81*SIN(ATAN($C141))</f>
        <v>1591.2065414606927</v>
      </c>
      <c r="E153" s="84">
        <f>1.293/2*(F$123/3.6)^2*$N$4*$L$4+$I$4*9.81*$G$4*COS(ATAN($C141))+$I$4*9.81*SIN(ATAN($C141))</f>
        <v>1631.0367099092082</v>
      </c>
      <c r="F153" s="84">
        <f>1.293/2*(G$123/3.6)^2*$N$4*$L$4+$I$4*9.81*$G$4*COS(ATAN($C141))+$I$4*9.81*SIN(ATAN($C141))</f>
        <v>1697.4203239900673</v>
      </c>
      <c r="G153" s="84">
        <f>1.293/2*(H$123/3.6)^2*$N$4*$L$4+$I$4*9.81*$G$4*COS(ATAN($C141))+$I$4*9.81*SIN(ATAN($C141))</f>
        <v>1790.35738370327</v>
      </c>
      <c r="H153" s="84">
        <f>1.293/2*(I$123/3.6)^2*$N$4*$L$4+$I$4*9.81*$G$4*COS(ATAN($C141))+$I$4*9.81*SIN(ATAN($C141))</f>
        <v>1909.8478890488163</v>
      </c>
      <c r="I153" s="84">
        <f>1.293/2*(J$123/3.6)^2*$N$4*$L$4+$I$4*9.81*$G$4*COS(ATAN($C141))+$I$4*9.81*SIN(ATAN($C141))</f>
        <v>2055.891840026706</v>
      </c>
      <c r="J153" s="84">
        <f>1.293/2*(K$123/3.6)^2*$N$4*$L$4+$I$4*9.81*$G$4*COS(ATAN($C141))+$I$4*9.81*SIN(ATAN($C141))</f>
        <v>2228.4892366369404</v>
      </c>
      <c r="K153" s="88">
        <f>1.293/2*(L$123/3.6)^2*$N$4*$L$4+$I$4*9.81*$G$4*COS(ATAN($C141))+$I$4*9.81*SIN(ATAN($C141))</f>
        <v>2427.640078879517</v>
      </c>
    </row>
    <row r="154" spans="1:11" ht="12.75">
      <c r="A154" s="249"/>
      <c r="B154" s="250"/>
      <c r="C154" s="83">
        <f>1.293/2*(D$123/3.6)^2*$N$4*$L$4+$I$4*9.81*$G$4*COS(ATAN($C142))+$I$4*9.81*SIN(ATAN($C142))</f>
        <v>1964.5439533051983</v>
      </c>
      <c r="D154" s="84">
        <f>1.293/2*(E$123/3.6)^2*$N$4*$L$4+$I$4*9.81*$G$4*COS(ATAN($C142))+$I$4*9.81*SIN(ATAN($C142))</f>
        <v>1977.82067612137</v>
      </c>
      <c r="E154" s="84">
        <f>1.293/2*(F$123/3.6)^2*$N$4*$L$4+$I$4*9.81*$G$4*COS(ATAN($C142))+$I$4*9.81*SIN(ATAN($C142))</f>
        <v>2017.6508445698855</v>
      </c>
      <c r="F154" s="84">
        <f>1.293/2*(G$123/3.6)^2*$N$4*$L$4+$I$4*9.81*$G$4*COS(ATAN($C142))+$I$4*9.81*SIN(ATAN($C142))</f>
        <v>2084.034458650745</v>
      </c>
      <c r="G154" s="84">
        <f>1.293/2*(H$123/3.6)^2*$N$4*$L$4+$I$4*9.81*$G$4*COS(ATAN($C142))+$I$4*9.81*SIN(ATAN($C142))</f>
        <v>2176.9715183639473</v>
      </c>
      <c r="H154" s="84">
        <f>1.293/2*(I$123/3.6)^2*$N$4*$L$4+$I$4*9.81*$G$4*COS(ATAN($C142))+$I$4*9.81*SIN(ATAN($C142))</f>
        <v>2296.4620237094937</v>
      </c>
      <c r="I154" s="84">
        <f>1.293/2*(J$123/3.6)^2*$N$4*$L$4+$I$4*9.81*$G$4*COS(ATAN($C142))+$I$4*9.81*SIN(ATAN($C142))</f>
        <v>2442.505974687384</v>
      </c>
      <c r="J154" s="84">
        <f>1.293/2*(K$123/3.6)^2*$N$4*$L$4+$I$4*9.81*$G$4*COS(ATAN($C142))+$I$4*9.81*SIN(ATAN($C142))</f>
        <v>2615.1033712976177</v>
      </c>
      <c r="K154" s="88">
        <f>1.293/2*(L$123/3.6)^2*$N$4*$L$4+$I$4*9.81*$G$4*COS(ATAN($C142))+$I$4*9.81*SIN(ATAN($C142))</f>
        <v>2814.2542135401945</v>
      </c>
    </row>
    <row r="155" spans="1:11" ht="13.5" thickBot="1">
      <c r="A155" s="251"/>
      <c r="B155" s="252"/>
      <c r="C155" s="89">
        <f>1.293/2*(D$123/3.6)^2*$N$4*$L$4+$I$4*9.81*$G$4*COS(ATAN($C143))+$I$4*9.81*SIN(ATAN($C143))</f>
        <v>2207.382433343569</v>
      </c>
      <c r="D155" s="90">
        <f>1.293/2*(E$123/3.6)^2*$N$4*$L$4+$I$4*9.81*$G$4*COS(ATAN($C143))+$I$4*9.81*SIN(ATAN($C143))</f>
        <v>2220.6591561597406</v>
      </c>
      <c r="E155" s="90">
        <f>1.293/2*(F$123/3.6)^2*$N$4*$L$4+$I$4*9.81*$G$4*COS(ATAN($C143))+$I$4*9.81*SIN(ATAN($C143))</f>
        <v>2260.489324608256</v>
      </c>
      <c r="F155" s="90">
        <f>1.293/2*(G$123/3.6)^2*$N$4*$L$4+$I$4*9.81*$G$4*COS(ATAN($C143))+$I$4*9.81*SIN(ATAN($C143))</f>
        <v>2326.8729386891155</v>
      </c>
      <c r="G155" s="90">
        <f>1.293/2*(H$123/3.6)^2*$N$4*$L$4+$I$4*9.81*$G$4*COS(ATAN($C143))+$I$4*9.81*SIN(ATAN($C143))</f>
        <v>2419.809998402318</v>
      </c>
      <c r="H155" s="90">
        <f>1.293/2*(I$123/3.6)^2*$N$4*$L$4+$I$4*9.81*$G$4*COS(ATAN($C143))+$I$4*9.81*SIN(ATAN($C143))</f>
        <v>2539.3005037478647</v>
      </c>
      <c r="I155" s="90">
        <f>1.293/2*(J$123/3.6)^2*$N$4*$L$4+$I$4*9.81*$G$4*COS(ATAN($C143))+$I$4*9.81*SIN(ATAN($C143))</f>
        <v>2685.3444547257545</v>
      </c>
      <c r="J155" s="90">
        <f>1.293/2*(K$123/3.6)^2*$N$4*$L$4+$I$4*9.81*$G$4*COS(ATAN($C143))+$I$4*9.81*SIN(ATAN($C143))</f>
        <v>2857.9418513359883</v>
      </c>
      <c r="K155" s="91">
        <f>1.293/2*(L$123/3.6)^2*$N$4*$L$4+$I$4*9.81*$G$4*COS(ATAN($C143))+$I$4*9.81*SIN(ATAN($C143))</f>
        <v>3057.0926935785656</v>
      </c>
    </row>
    <row r="156" ht="12.75"/>
    <row r="157" ht="13.5" thickBot="1"/>
    <row r="158" spans="1:12" ht="12.75">
      <c r="A158" s="176" t="s">
        <v>77</v>
      </c>
      <c r="B158" s="160">
        <f>'Leistung u. Drehmoment'!C5</f>
        <v>11</v>
      </c>
      <c r="C158" s="160">
        <f>'Leistung u. Drehmoment'!D5</f>
        <v>20</v>
      </c>
      <c r="D158" s="160">
        <f>'Leistung u. Drehmoment'!E5</f>
        <v>25</v>
      </c>
      <c r="E158" s="160">
        <f>'Leistung u. Drehmoment'!F5</f>
        <v>30</v>
      </c>
      <c r="F158" s="160">
        <f>'Leistung u. Drehmoment'!G5</f>
        <v>35</v>
      </c>
      <c r="G158" s="160">
        <f>'Leistung u. Drehmoment'!H5</f>
        <v>39</v>
      </c>
      <c r="H158" s="160">
        <f>'Leistung u. Drehmoment'!I5</f>
        <v>42</v>
      </c>
      <c r="I158" s="160">
        <f>'Leistung u. Drehmoment'!J5</f>
        <v>43.5</v>
      </c>
      <c r="J158" s="160">
        <f>'Leistung u. Drehmoment'!K5</f>
        <v>43</v>
      </c>
      <c r="K158" s="160">
        <f>'Leistung u. Drehmoment'!L5</f>
        <v>40</v>
      </c>
      <c r="L158" s="161">
        <f>MAX(B158:K158)</f>
        <v>43.5</v>
      </c>
    </row>
    <row r="159" spans="1:12" ht="12.75">
      <c r="A159" s="177" t="s">
        <v>70</v>
      </c>
      <c r="B159" s="171">
        <f>'Leistung u. Drehmoment'!C4</f>
        <v>35.016666666666666</v>
      </c>
      <c r="C159" s="171">
        <f>'Leistung u. Drehmoment'!D4</f>
        <v>47.75</v>
      </c>
      <c r="D159" s="171">
        <f>'Leistung u. Drehmoment'!E4</f>
        <v>53.05555555555556</v>
      </c>
      <c r="E159" s="171">
        <f>'Leistung u. Drehmoment'!F4</f>
        <v>57.300000000000004</v>
      </c>
      <c r="F159" s="171">
        <f>'Leistung u. Drehmoment'!G4</f>
        <v>60.77272727272727</v>
      </c>
      <c r="G159" s="171">
        <f>'Leistung u. Drehmoment'!H4</f>
        <v>62.074999999999996</v>
      </c>
      <c r="H159" s="171">
        <f>'Leistung u. Drehmoment'!I4</f>
        <v>61.707692307692305</v>
      </c>
      <c r="I159" s="171">
        <f>'Leistung u. Drehmoment'!J4</f>
        <v>59.34642857142857</v>
      </c>
      <c r="J159" s="171">
        <f>'Leistung u. Drehmoment'!K4</f>
        <v>54.75333333333333</v>
      </c>
      <c r="K159" s="171">
        <f>'Leistung u. Drehmoment'!L4</f>
        <v>47.75</v>
      </c>
      <c r="L159" s="172">
        <f>HLOOKUP(L158,B158:K160,2,FALSE)</f>
        <v>59.34642857142857</v>
      </c>
    </row>
    <row r="160" spans="1:12" ht="13.5" thickBot="1">
      <c r="A160" s="178" t="s">
        <v>78</v>
      </c>
      <c r="B160" s="90">
        <f>'Leistung u. Drehmoment'!C1</f>
        <v>3000</v>
      </c>
      <c r="C160" s="90">
        <f>'Leistung u. Drehmoment'!D1</f>
        <v>4000</v>
      </c>
      <c r="D160" s="90">
        <f>'Leistung u. Drehmoment'!E1</f>
        <v>4500</v>
      </c>
      <c r="E160" s="90">
        <f>'Leistung u. Drehmoment'!F1</f>
        <v>5000</v>
      </c>
      <c r="F160" s="90">
        <f>'Leistung u. Drehmoment'!G1</f>
        <v>5500</v>
      </c>
      <c r="G160" s="90">
        <f>'Leistung u. Drehmoment'!H1</f>
        <v>6000</v>
      </c>
      <c r="H160" s="90">
        <f>'Leistung u. Drehmoment'!I1</f>
        <v>6500</v>
      </c>
      <c r="I160" s="90">
        <f>'Leistung u. Drehmoment'!J1</f>
        <v>7000</v>
      </c>
      <c r="J160" s="90">
        <f>'Leistung u. Drehmoment'!K1</f>
        <v>7500</v>
      </c>
      <c r="K160" s="90">
        <f>'Leistung u. Drehmoment'!L1</f>
        <v>8000</v>
      </c>
      <c r="L160" s="175">
        <f>HLOOKUP(L158,B158:K160,3,FALSE)</f>
        <v>7000</v>
      </c>
    </row>
    <row r="161" ht="13.5" thickBot="1"/>
    <row r="162" spans="1:11" ht="12.75">
      <c r="A162" s="169" t="s">
        <v>79</v>
      </c>
      <c r="B162" s="160">
        <f>MIN(M114:M120)/O11</f>
        <v>50.082595136159945</v>
      </c>
      <c r="C162" s="160">
        <f aca="true" t="shared" si="11" ref="C162:J162">B162+($K162-$B162)/9</f>
        <v>64.07171507388362</v>
      </c>
      <c r="D162" s="160">
        <f t="shared" si="11"/>
        <v>78.06083501160731</v>
      </c>
      <c r="E162" s="160">
        <f t="shared" si="11"/>
        <v>92.049954949331</v>
      </c>
      <c r="F162" s="160">
        <f t="shared" si="11"/>
        <v>106.03907488705468</v>
      </c>
      <c r="G162" s="160">
        <f t="shared" si="11"/>
        <v>120.02819482477837</v>
      </c>
      <c r="H162" s="160">
        <f t="shared" si="11"/>
        <v>134.01731476250205</v>
      </c>
      <c r="I162" s="160">
        <f t="shared" si="11"/>
        <v>148.00643470022573</v>
      </c>
      <c r="J162" s="160">
        <f t="shared" si="11"/>
        <v>161.9955546379494</v>
      </c>
      <c r="K162" s="161">
        <f>MAX(M114:M120)</f>
        <v>175.9846745756731</v>
      </c>
    </row>
    <row r="163" spans="1:11" ht="12.75">
      <c r="A163" s="170" t="s">
        <v>80</v>
      </c>
      <c r="B163" s="171">
        <f aca="true" t="shared" si="12" ref="B163:K163">3600*$L$158/B162*$B$164</f>
        <v>2881.378243433107</v>
      </c>
      <c r="C163" s="171">
        <f t="shared" si="12"/>
        <v>2252.2715340707523</v>
      </c>
      <c r="D163" s="171">
        <f t="shared" si="12"/>
        <v>1848.646635390746</v>
      </c>
      <c r="E163" s="171">
        <f t="shared" si="12"/>
        <v>1567.7020165782144</v>
      </c>
      <c r="F163" s="171">
        <f t="shared" si="12"/>
        <v>1360.8841849450826</v>
      </c>
      <c r="G163" s="171">
        <f t="shared" si="12"/>
        <v>1202.2750172212836</v>
      </c>
      <c r="H163" s="171">
        <f t="shared" si="12"/>
        <v>1076.7780286878046</v>
      </c>
      <c r="I163" s="171">
        <f t="shared" si="12"/>
        <v>975.0042306760594</v>
      </c>
      <c r="J163" s="171">
        <f t="shared" si="12"/>
        <v>890.8077775499303</v>
      </c>
      <c r="K163" s="172">
        <f t="shared" si="12"/>
        <v>819.9969704631768</v>
      </c>
    </row>
    <row r="164" spans="1:11" ht="13.5" thickBot="1">
      <c r="A164" s="173" t="s">
        <v>81</v>
      </c>
      <c r="B164" s="174">
        <f>C8*E8*MAX(F8:L8)</f>
        <v>0.9215</v>
      </c>
      <c r="C164" s="174"/>
      <c r="D164" s="174"/>
      <c r="E164" s="174"/>
      <c r="F164" s="174"/>
      <c r="G164" s="174"/>
      <c r="H164" s="174"/>
      <c r="I164" s="174"/>
      <c r="J164" s="174"/>
      <c r="K164" s="175"/>
    </row>
    <row r="166" ht="12.75"/>
    <row r="171" ht="12.75"/>
  </sheetData>
  <mergeCells count="65">
    <mergeCell ref="F113:G113"/>
    <mergeCell ref="C67:E67"/>
    <mergeCell ref="C68:E68"/>
    <mergeCell ref="C69:E69"/>
    <mergeCell ref="D88:E88"/>
    <mergeCell ref="A146:B155"/>
    <mergeCell ref="D76:E76"/>
    <mergeCell ref="D77:E77"/>
    <mergeCell ref="D78:E78"/>
    <mergeCell ref="D79:E79"/>
    <mergeCell ref="D82:E82"/>
    <mergeCell ref="A98:B98"/>
    <mergeCell ref="D83:E83"/>
    <mergeCell ref="D84:E84"/>
    <mergeCell ref="D85:E85"/>
    <mergeCell ref="A99:B99"/>
    <mergeCell ref="D72:E72"/>
    <mergeCell ref="D73:E73"/>
    <mergeCell ref="D74:E74"/>
    <mergeCell ref="D75:E75"/>
    <mergeCell ref="A107:B107"/>
    <mergeCell ref="A100:B100"/>
    <mergeCell ref="A2:H2"/>
    <mergeCell ref="G3:H3"/>
    <mergeCell ref="A6:B7"/>
    <mergeCell ref="A8:B8"/>
    <mergeCell ref="G4:H4"/>
    <mergeCell ref="C8:D8"/>
    <mergeCell ref="D86:E86"/>
    <mergeCell ref="D87:E87"/>
    <mergeCell ref="A1:N1"/>
    <mergeCell ref="M6:N7"/>
    <mergeCell ref="M8:N8"/>
    <mergeCell ref="I2:N2"/>
    <mergeCell ref="L3:M3"/>
    <mergeCell ref="D3:E3"/>
    <mergeCell ref="D4:E4"/>
    <mergeCell ref="A102:B102"/>
    <mergeCell ref="A103:B103"/>
    <mergeCell ref="L4:M4"/>
    <mergeCell ref="A108:B108"/>
    <mergeCell ref="A101:B101"/>
    <mergeCell ref="D80:E80"/>
    <mergeCell ref="D81:E81"/>
    <mergeCell ref="A104:B104"/>
    <mergeCell ref="A105:B105"/>
    <mergeCell ref="A106:B106"/>
    <mergeCell ref="A134:B143"/>
    <mergeCell ref="A144:B144"/>
    <mergeCell ref="A109:B109"/>
    <mergeCell ref="A110:B110"/>
    <mergeCell ref="A123:B133"/>
    <mergeCell ref="A111:B111"/>
    <mergeCell ref="O14:P14"/>
    <mergeCell ref="O15:P15"/>
    <mergeCell ref="O16:P16"/>
    <mergeCell ref="O17:P17"/>
    <mergeCell ref="O18:P18"/>
    <mergeCell ref="O19:P19"/>
    <mergeCell ref="O20:P20"/>
    <mergeCell ref="O21:P21"/>
    <mergeCell ref="O22:P22"/>
    <mergeCell ref="O23:P23"/>
    <mergeCell ref="O24:P24"/>
    <mergeCell ref="O25:P25"/>
  </mergeCells>
  <dataValidations count="1">
    <dataValidation type="textLength" operator="equal" allowBlank="1" showInputMessage="1" showErrorMessage="1" errorTitle="Der größte aller Rechner:" error="Hier werden alle Werte automatisch berechnet." sqref="F122:G144 H121:L144 C121:E144 C146:K155 C145:N145 O112:O155 A112:N112 A121:A146 B121:B145 A98:M111">
      <formula1>0</formula1>
    </dataValidation>
  </dataValidations>
  <printOptions horizontalCentered="1" verticalCentered="1"/>
  <pageMargins left="0.5905511811023623" right="0.2362204724409449" top="0.35433070866141736" bottom="0.35433070866141736" header="0.3937007874015748" footer="0.3937007874015748"/>
  <pageSetup fitToHeight="1" fitToWidth="1" horizontalDpi="300" verticalDpi="3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Wilhelm-Maybach-Schule,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Leistung-Zugkraft-Getriebediagramm</dc:title>
  <dc:subject/>
  <dc:creator>Christian Mintel (mintel@online.de)</dc:creator>
  <cp:keywords/>
  <dc:description>siehe Kommentare in den jeweiligen Zellen</dc:description>
  <cp:lastModifiedBy>ChM</cp:lastModifiedBy>
  <cp:lastPrinted>2005-10-26T21:57:13Z</cp:lastPrinted>
  <dcterms:created xsi:type="dcterms:W3CDTF">2001-04-29T18:08:53Z</dcterms:created>
  <dcterms:modified xsi:type="dcterms:W3CDTF">2006-02-13T23:53:41Z</dcterms:modified>
  <cp:category/>
  <cp:version/>
  <cp:contentType/>
  <cp:contentStatus/>
</cp:coreProperties>
</file>